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nlepdhg-fs01.main.glb.corp.local\Home-DHG-7$\J0426567\Documents\methane\benzene\Emission factors\"/>
    </mc:Choice>
  </mc:AlternateContent>
  <xr:revisionPtr revIDLastSave="0" documentId="14_{9D636BD7-3961-431E-A7D5-AB91D783C4BD}" xr6:coauthVersionLast="45" xr6:coauthVersionMax="45" xr10:uidLastSave="{00000000-0000-0000-0000-000000000000}"/>
  <bookViews>
    <workbookView xWindow="18990" yWindow="675" windowWidth="15375" windowHeight="8025" tabRatio="775" activeTab="1" xr2:uid="{00000000-000D-0000-FFFF-FFFF00000000}"/>
  </bookViews>
  <sheets>
    <sheet name="1.Intro" sheetId="3" r:id="rId1"/>
    <sheet name="2.Emission reporting overview" sheetId="1" r:id="rId2"/>
    <sheet name="3.Reporting scheme CH4-C6H6" sheetId="2" r:id="rId3"/>
    <sheet name="Sheet4" sheetId="4" state="hidden" r:id="rId4"/>
    <sheet name="4.AP-42 CH4 factor tables" sheetId="6" r:id="rId5"/>
    <sheet name="5. AP-42-benzene EF" sheetId="10" r:id="rId6"/>
    <sheet name="6.Implementation" sheetId="9" r:id="rId7"/>
    <sheet name="Voorbeeld berekeningen" sheetId="7" state="hidden" r:id="rId8"/>
    <sheet name="7.Laws and regulations" sheetId="5" r:id="rId9"/>
  </sheets>
  <definedNames>
    <definedName name="_xlnm._FilterDatabase" localSheetId="2" hidden="1">'3.Reporting scheme CH4-C6H6'!$C$1:$M$90</definedName>
    <definedName name="KEUZE">Sheet4!$A$1:$A$2</definedName>
    <definedName name="LIST">Sheet4!$E$2:$E$3</definedName>
    <definedName name="LIST1">Sheet4!$E$2:$E$3</definedName>
    <definedName name="LIST2">Sheet4!$G$2:$G$3</definedName>
    <definedName name="LIST3">Sheet4!$I$2:$I$4</definedName>
    <definedName name="LIST4">Sheet4!$K$2:$K$4</definedName>
  </definedNames>
  <calcPr calcId="191029"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17" i="9" l="1"/>
  <c r="F72" i="10"/>
  <c r="H72" i="10"/>
  <c r="H69" i="6"/>
  <c r="F69" i="6" s="1"/>
  <c r="C17" i="9" s="1"/>
  <c r="K68" i="6"/>
  <c r="L5" i="2" l="1"/>
  <c r="X8" i="2"/>
  <c r="X5" i="2"/>
  <c r="T2" i="2" l="1"/>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F66" i="10" l="1"/>
  <c r="G18" i="9" s="1"/>
  <c r="F75" i="10" l="1"/>
  <c r="G15" i="9" s="1"/>
  <c r="X6" i="2" s="1"/>
  <c r="E75" i="10"/>
  <c r="E69" i="10"/>
  <c r="F69" i="10" s="1"/>
  <c r="H69" i="10" s="1"/>
  <c r="E72" i="6"/>
  <c r="F72" i="6" s="1"/>
  <c r="E63" i="6"/>
  <c r="F63" i="6" s="1"/>
  <c r="E66" i="6"/>
  <c r="F66" i="6" s="1"/>
  <c r="G14" i="9" l="1"/>
  <c r="X9" i="2" s="1"/>
  <c r="H56" i="2"/>
  <c r="B56" i="2"/>
  <c r="A56" i="2"/>
  <c r="H49" i="2"/>
  <c r="B49" i="2"/>
  <c r="A49" i="2"/>
  <c r="H45" i="2"/>
  <c r="B45" i="2"/>
  <c r="A45" i="2"/>
  <c r="L8" i="2" l="1"/>
  <c r="C5" i="9"/>
  <c r="G16" i="9" s="1"/>
  <c r="A3" i="2"/>
  <c r="B3" i="2"/>
  <c r="A4" i="2"/>
  <c r="B4" i="2"/>
  <c r="A5" i="2"/>
  <c r="B5" i="2"/>
  <c r="A6" i="2"/>
  <c r="B6" i="2"/>
  <c r="A7" i="2"/>
  <c r="B7" i="2"/>
  <c r="A8" i="2"/>
  <c r="B8" i="2"/>
  <c r="A9" i="2"/>
  <c r="B9" i="2"/>
  <c r="A10" i="2"/>
  <c r="B10" i="2"/>
  <c r="A11" i="2"/>
  <c r="B11"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A44" i="2"/>
  <c r="B44" i="2"/>
  <c r="A46" i="2"/>
  <c r="B46" i="2"/>
  <c r="A47" i="2"/>
  <c r="B47" i="2"/>
  <c r="A48" i="2"/>
  <c r="B48" i="2"/>
  <c r="A50" i="2"/>
  <c r="B50" i="2"/>
  <c r="A51" i="2"/>
  <c r="B51" i="2"/>
  <c r="A52" i="2"/>
  <c r="B52" i="2"/>
  <c r="A53" i="2"/>
  <c r="B53" i="2"/>
  <c r="A54" i="2"/>
  <c r="B54" i="2"/>
  <c r="A55" i="2"/>
  <c r="B55" i="2"/>
  <c r="A57" i="2"/>
  <c r="B57" i="2"/>
  <c r="A58" i="2"/>
  <c r="B58" i="2"/>
  <c r="A59" i="2"/>
  <c r="B59" i="2"/>
  <c r="A60" i="2"/>
  <c r="B60" i="2"/>
  <c r="A61" i="2"/>
  <c r="B61" i="2"/>
  <c r="A62" i="2"/>
  <c r="B62" i="2"/>
  <c r="A63" i="2"/>
  <c r="B63" i="2"/>
  <c r="A64" i="2"/>
  <c r="B64" i="2"/>
  <c r="A65" i="2"/>
  <c r="B65" i="2"/>
  <c r="A66" i="2"/>
  <c r="B66" i="2"/>
  <c r="A67" i="2"/>
  <c r="B67" i="2"/>
  <c r="A68" i="2"/>
  <c r="B68" i="2"/>
  <c r="A69" i="2"/>
  <c r="B69"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C6" i="9"/>
  <c r="B2" i="2"/>
  <c r="A2" i="2"/>
  <c r="B1" i="2"/>
  <c r="A1" i="2"/>
  <c r="C2" i="9"/>
  <c r="C3" i="9"/>
  <c r="D17" i="7"/>
  <c r="D16" i="7"/>
  <c r="D27" i="7"/>
  <c r="J27" i="7"/>
  <c r="G27" i="7"/>
  <c r="M26" i="7"/>
  <c r="J26" i="7"/>
  <c r="G26" i="7"/>
  <c r="D26" i="7"/>
  <c r="P25" i="7"/>
  <c r="M25" i="7"/>
  <c r="J25" i="7"/>
  <c r="G25" i="7"/>
  <c r="D25" i="7"/>
  <c r="P24" i="7"/>
  <c r="M24" i="7"/>
  <c r="J24" i="7"/>
  <c r="G24" i="7"/>
  <c r="D24" i="7"/>
  <c r="P22" i="7"/>
  <c r="M22" i="7"/>
  <c r="J22" i="7"/>
  <c r="G22" i="7"/>
  <c r="D22" i="7"/>
  <c r="P21" i="7"/>
  <c r="M21" i="7"/>
  <c r="J21" i="7"/>
  <c r="G21" i="7"/>
  <c r="D21" i="7"/>
  <c r="P19" i="7"/>
  <c r="M19" i="7"/>
  <c r="J19" i="7"/>
  <c r="G19" i="7"/>
  <c r="D19" i="7"/>
  <c r="P18" i="7"/>
  <c r="M18" i="7"/>
  <c r="J18" i="7"/>
  <c r="G18" i="7"/>
  <c r="D18" i="7"/>
  <c r="P16" i="7"/>
  <c r="M16" i="7"/>
  <c r="J16" i="7"/>
  <c r="G16" i="7"/>
  <c r="P15" i="7"/>
  <c r="M15" i="7"/>
  <c r="J15" i="7"/>
  <c r="G15" i="7"/>
  <c r="D15" i="7"/>
  <c r="H2" i="2"/>
  <c r="H70" i="2"/>
  <c r="H71" i="2"/>
  <c r="H72" i="2"/>
  <c r="H73" i="2"/>
  <c r="H74" i="2"/>
  <c r="H75" i="2"/>
  <c r="H76" i="2"/>
  <c r="H77" i="2"/>
  <c r="H78" i="2"/>
  <c r="H79" i="2"/>
  <c r="H80" i="2"/>
  <c r="H81" i="2"/>
  <c r="H82" i="2"/>
  <c r="H83" i="2"/>
  <c r="H84" i="2"/>
  <c r="H85" i="2"/>
  <c r="H86" i="2"/>
  <c r="H87" i="2"/>
  <c r="H88" i="2"/>
  <c r="H89" i="2"/>
  <c r="H90" i="2"/>
  <c r="H69" i="2"/>
  <c r="H42" i="2"/>
  <c r="H43" i="2"/>
  <c r="H44" i="2"/>
  <c r="H46" i="2"/>
  <c r="H47" i="2"/>
  <c r="H48" i="2"/>
  <c r="H50" i="2"/>
  <c r="H51" i="2"/>
  <c r="H52" i="2"/>
  <c r="H53" i="2"/>
  <c r="H54" i="2"/>
  <c r="H55" i="2"/>
  <c r="H57" i="2"/>
  <c r="H58" i="2"/>
  <c r="H59" i="2"/>
  <c r="H60" i="2"/>
  <c r="H61" i="2"/>
  <c r="H62" i="2"/>
  <c r="H63" i="2"/>
  <c r="H64" i="2"/>
  <c r="H65" i="2"/>
  <c r="H66" i="2"/>
  <c r="H67" i="2"/>
  <c r="H68" i="2"/>
  <c r="H40" i="2"/>
  <c r="H41" i="2"/>
  <c r="H39" i="2"/>
  <c r="H18" i="2"/>
  <c r="H19" i="2"/>
  <c r="H20" i="2"/>
  <c r="H21" i="2"/>
  <c r="H22" i="2"/>
  <c r="H23" i="2"/>
  <c r="H24" i="2"/>
  <c r="H25" i="2"/>
  <c r="H26" i="2"/>
  <c r="H27" i="2"/>
  <c r="H28" i="2"/>
  <c r="H29" i="2"/>
  <c r="H30" i="2"/>
  <c r="H31" i="2"/>
  <c r="H32" i="2"/>
  <c r="H33" i="2"/>
  <c r="H34" i="2"/>
  <c r="H35" i="2"/>
  <c r="H36" i="2"/>
  <c r="H37" i="2"/>
  <c r="H38" i="2"/>
  <c r="H17" i="2"/>
  <c r="H3" i="2"/>
  <c r="H4" i="2"/>
  <c r="H5" i="2"/>
  <c r="H6" i="2"/>
  <c r="H7" i="2"/>
  <c r="H8" i="2"/>
  <c r="H9" i="2"/>
  <c r="H10" i="2"/>
  <c r="H11" i="2"/>
  <c r="H12" i="2"/>
  <c r="H13" i="2"/>
  <c r="H14" i="2"/>
  <c r="H15" i="2"/>
  <c r="H16" i="2"/>
  <c r="C15" i="9" l="1"/>
  <c r="L6" i="2" s="1"/>
  <c r="C14" i="9"/>
  <c r="L9" i="2" s="1"/>
  <c r="C19" i="9"/>
  <c r="C16" i="9"/>
  <c r="C18" i="9"/>
  <c r="C7" i="9"/>
</calcChain>
</file>

<file path=xl/sharedStrings.xml><?xml version="1.0" encoding="utf-8"?>
<sst xmlns="http://schemas.openxmlformats.org/spreadsheetml/2006/main" count="1412" uniqueCount="518">
  <si>
    <t>Emission reporting based on e-MJV categories</t>
  </si>
  <si>
    <t>e-MJV categories</t>
  </si>
  <si>
    <t xml:space="preserve">Reporting method sequence </t>
  </si>
  <si>
    <t>1. Meten</t>
  </si>
  <si>
    <t>CH4 door flaring</t>
  </si>
  <si>
    <t>CH4 door venten (gekanaliseerd beoogd afvoeren)</t>
  </si>
  <si>
    <t>1. Leak, no leak benadering</t>
  </si>
  <si>
    <t>2. Differentiëren op kentallen</t>
  </si>
  <si>
    <t>e-MJV categorie</t>
  </si>
  <si>
    <t>CH4 emission sources</t>
  </si>
  <si>
    <t>CH4 door stookinstallaties</t>
  </si>
  <si>
    <t>Boilers</t>
  </si>
  <si>
    <t>Methane slip boilers</t>
  </si>
  <si>
    <t>Central heating</t>
  </si>
  <si>
    <t>Methane slip central heating</t>
  </si>
  <si>
    <t>Condensate flash &amp; stabilisation</t>
  </si>
  <si>
    <t>Condensaatflash en -stabilisatie</t>
  </si>
  <si>
    <t>Diesel Engine</t>
  </si>
  <si>
    <t>Methane slip diesel engine</t>
  </si>
  <si>
    <t>Direct emissions from gas engines</t>
  </si>
  <si>
    <t>Methane slip gas engine</t>
  </si>
  <si>
    <t>Direct emissions from gas turbines</t>
  </si>
  <si>
    <t>Purging turbine at startup</t>
  </si>
  <si>
    <t>Furnaces/OVC</t>
  </si>
  <si>
    <t>Methane slip furnace/OVC</t>
  </si>
  <si>
    <t>Gas turbine</t>
  </si>
  <si>
    <t>Methane slip gas turbine</t>
  </si>
  <si>
    <t>Incinerator</t>
  </si>
  <si>
    <t>Methane slip incinerator</t>
  </si>
  <si>
    <t>Monoethylene glycol (MEG) regeneration</t>
  </si>
  <si>
    <t>MEG degassing tank</t>
  </si>
  <si>
    <t>MEG regenerator</t>
  </si>
  <si>
    <t>Pre-heaters</t>
  </si>
  <si>
    <t>Methane slip pre-heaters</t>
  </si>
  <si>
    <t>Produced water treatment</t>
  </si>
  <si>
    <t>Produced water degassing tank</t>
  </si>
  <si>
    <t>Triethylene glycol (TEG) regeneration</t>
  </si>
  <si>
    <t>TEG degassing tank</t>
  </si>
  <si>
    <t>TEG regenerator</t>
  </si>
  <si>
    <t>Stripping gas for TEG regeneration</t>
  </si>
  <si>
    <t>Dry compressor seals</t>
  </si>
  <si>
    <t>Primary seal gas (primary vent)</t>
  </si>
  <si>
    <t>Secondary seal gas (secondary vent)</t>
  </si>
  <si>
    <t>Leakage of primary seal gas to secondary seal vent</t>
  </si>
  <si>
    <t>Flare gas not burnt</t>
  </si>
  <si>
    <t>Extinguished flare</t>
  </si>
  <si>
    <t>Delayed flare ignition</t>
  </si>
  <si>
    <t>Non-combustible flare gas</t>
  </si>
  <si>
    <t>Open cold flare purged with N2</t>
  </si>
  <si>
    <t>CH4 emission due to burning efficiency flare</t>
  </si>
  <si>
    <t>CH4 door venting</t>
  </si>
  <si>
    <t>Depressurising turbines at shutdown</t>
  </si>
  <si>
    <t>Start gas for gas turbines</t>
  </si>
  <si>
    <t>Double block and bleed (DBB) valves</t>
  </si>
  <si>
    <t>Flexible riser annulus bleed</t>
  </si>
  <si>
    <t>Gas analysers and test/sample stations</t>
  </si>
  <si>
    <t>Gas freeing from oil storage tanks on FPSOs</t>
  </si>
  <si>
    <t>Abnormal operating conditions</t>
  </si>
  <si>
    <t>Inspection of storage tanks</t>
  </si>
  <si>
    <t>Gas leaks in the process</t>
  </si>
  <si>
    <t>Fugitives</t>
  </si>
  <si>
    <t>Gas leaks in the process, incident not channeled</t>
  </si>
  <si>
    <t>Large gas leaks (requiring investigation)</t>
  </si>
  <si>
    <t>Liquid ring compressors</t>
  </si>
  <si>
    <t>Low pressure scrubbers</t>
  </si>
  <si>
    <t>Stripping gas for MEG regeneration</t>
  </si>
  <si>
    <t>Pig launchers and receivers</t>
  </si>
  <si>
    <t>Produced water flotation unit (off-gas from water)</t>
  </si>
  <si>
    <t>Flotation gas (where HC gas is used)</t>
  </si>
  <si>
    <t>Discharge caisson</t>
  </si>
  <si>
    <t>Production riser annulus bleed</t>
  </si>
  <si>
    <t>Reciprocating compressors</t>
  </si>
  <si>
    <t>Separator chamber</t>
  </si>
  <si>
    <t>Crankshaft housing</t>
  </si>
  <si>
    <t>Screw compressors</t>
  </si>
  <si>
    <t>Stripping gas for injection water</t>
  </si>
  <si>
    <t>Venting</t>
  </si>
  <si>
    <t>Large gas leaks in the process, channeled (requiring investigation)</t>
  </si>
  <si>
    <t>Maintenance (Discontinous)</t>
  </si>
  <si>
    <t>Purge and blanket gas</t>
  </si>
  <si>
    <t>Gas freeing of process systems</t>
  </si>
  <si>
    <t>Emergency blowdown</t>
  </si>
  <si>
    <t>Small gas leaks, channeled</t>
  </si>
  <si>
    <t>Waco tanks</t>
  </si>
  <si>
    <t>Breathing Waco tanks</t>
  </si>
  <si>
    <t>Amin regeneration</t>
  </si>
  <si>
    <t>Amin degassing tank</t>
  </si>
  <si>
    <t>Amin regenerator</t>
  </si>
  <si>
    <t>Compressor seal oil (wet seals)</t>
  </si>
  <si>
    <t>Degassing pots</t>
  </si>
  <si>
    <t>Seal oil holding tanks</t>
  </si>
  <si>
    <t>CH4 emission sub-sources</t>
  </si>
  <si>
    <t>CH4 door diffuse emissies</t>
  </si>
  <si>
    <t>Seal oil storage tanks</t>
  </si>
  <si>
    <t>Consumption oil tanks (diesel, lubricating oil, etc)</t>
  </si>
  <si>
    <t>Corrosion coupons</t>
  </si>
  <si>
    <t>Depressurisation/gas freeing of instruments/instrument bridles</t>
  </si>
  <si>
    <t>Description:</t>
  </si>
  <si>
    <t>Yes</t>
  </si>
  <si>
    <t>No</t>
  </si>
  <si>
    <t>Available on platform</t>
  </si>
  <si>
    <t xml:space="preserve">Description </t>
  </si>
  <si>
    <t>CH4 door stookinstallaties t.b.v. olieproductie</t>
  </si>
  <si>
    <t>CH4 door stookinstallaties t.b.v. gasproductie</t>
  </si>
  <si>
    <t>CH4 door flaring t.b.v. olieproductie</t>
  </si>
  <si>
    <t>CH4 door flaring t.b.v. gasproductie</t>
  </si>
  <si>
    <t>CH4  door venting t.b.v. olieproductie</t>
  </si>
  <si>
    <t>CH4 door venting t.b.v. gasproductie</t>
  </si>
  <si>
    <t>CH4 van overige installaties incl. diffuse emissies door olieproductie</t>
  </si>
  <si>
    <t>CH4 van overige installaties incl. diffuse emissies door gasproductie</t>
  </si>
  <si>
    <t>Drilling &amp; Well services</t>
  </si>
  <si>
    <t>Emissions to air - Power generation; CO2 emissions</t>
  </si>
  <si>
    <t>Mining Decree</t>
  </si>
  <si>
    <t>Mining Regulations</t>
  </si>
  <si>
    <t>Art. 1.4.3</t>
  </si>
  <si>
    <t>An application for an environmental mining permit has to include certain information.</t>
  </si>
  <si>
    <t>Art. 1.4.3 e</t>
  </si>
  <si>
    <t>An application for an environmental mining permit has to include the thermal rating of the combustion equipment.</t>
  </si>
  <si>
    <t>BARMM</t>
  </si>
  <si>
    <t>Art. 61</t>
  </si>
  <si>
    <t>The operator of a mobile installations aims to use energy efficiently.</t>
  </si>
  <si>
    <t>Flaring</t>
  </si>
  <si>
    <t>Applicability</t>
  </si>
  <si>
    <t>Onshore NL and Dutch continental shelf (implements the Mining Act)</t>
  </si>
  <si>
    <t>Art. 24.j</t>
  </si>
  <si>
    <t>The production plan has to quantify the hydrocarbons used, vented and flared during production</t>
  </si>
  <si>
    <t>Art. 84</t>
  </si>
  <si>
    <t>Flaring of gas is prohibited unless required for the normal operations.</t>
  </si>
  <si>
    <t>Onshore drilling and temporary activities in non-sensitive areas, to temporary activities on onshore and offshore production locations (such as drilling and workovers) and to subsea wellheads.</t>
  </si>
  <si>
    <t>Art. 54</t>
  </si>
  <si>
    <t>Well tests need to be announced at least 48 hours in advance and further conditions may be imposed.</t>
  </si>
  <si>
    <t>Art. 55</t>
  </si>
  <si>
    <t>Atmospheric emissions need to be measured and registered.</t>
  </si>
  <si>
    <t>Venting of gas is prohibited unless required for the normal operations.</t>
  </si>
  <si>
    <t>NOGEPA industry guideline 23</t>
  </si>
  <si>
    <t>Emissiebepaling en rapportage - onderdeel: emissies naar lucht</t>
  </si>
  <si>
    <t>Emission factor is for a natural gas, controlled low-NOx burner unit.</t>
  </si>
  <si>
    <t>b Emission factor is for uncontrolled natural gas units.</t>
  </si>
  <si>
    <t>c The Btu-based emission factors for natural gas boiler/furnaces/heaters are derived from the volume-based (scf) factor by dividing by 1020 Btu/scf (the default heating value used by AP-42). This factor</t>
  </si>
  <si>
    <t>may be used for other natural gas combustion sources. Gas volumes are based on standard conditions of 60°F and 14.7 psia.</t>
  </si>
  <si>
    <t>d Emission factor rating pertains to the quality of the data; “A” has the best quality while “E” has the poorest quality</t>
  </si>
  <si>
    <t>Footnotes and Sources:</t>
  </si>
  <si>
    <t>a IPCC, 2006 IPCC Guidelines for National Greenhouse Gas Inventories, Volume 2, Chapter 4 (Fugitive Emissions), Table 4.2.4, 2006 Revised November 2008.</t>
  </si>
  <si>
    <t>b Uncertainty based on a 95% confidence interval (IPCC, Volume 2, Chapter 4, Section 4.2.2.7.2, 2006 Revised November 2008).</t>
  </si>
  <si>
    <t>c IPCC reports that flared volumes should be used to estimate flare emissions instead of the above emission factors when such data are available. IPCC reports that flared volume based emission factors are</t>
  </si>
  <si>
    <t>0.68% N2 and 6.84% non-CH4 hydrocarbons, by volume).</t>
  </si>
  <si>
    <t>d U.S. Environmental Protection Agency (EPA). Inventory of U.S. Greenhouse Gas Emissions and Sinks: 1990-2007, Table A-127, April 15, 2009.</t>
  </si>
  <si>
    <t>e CH4 emission factors converted from scf or m3 are based on 60°F and 14.7 psia.</t>
  </si>
  <si>
    <t>Article</t>
  </si>
  <si>
    <t>Summary</t>
  </si>
  <si>
    <t>API kentallen</t>
  </si>
  <si>
    <t>NAM</t>
  </si>
  <si>
    <t>Slochteren gas</t>
  </si>
  <si>
    <t>E&amp;P forum No 2.59/197  1994</t>
  </si>
  <si>
    <t>Fuel gas</t>
  </si>
  <si>
    <t>API compendium 2009 (refers mainly to AP 42)</t>
  </si>
  <si>
    <t>density</t>
  </si>
  <si>
    <t>[kg/m3]</t>
  </si>
  <si>
    <t>AP 42 (USA EPA, 1998 and 2000)</t>
  </si>
  <si>
    <t>LHV</t>
  </si>
  <si>
    <t>[MJ/Nm3]</t>
  </si>
  <si>
    <t>National Pollutant Inventory, 1999</t>
  </si>
  <si>
    <t>LHV=0.9*HHV</t>
  </si>
  <si>
    <t>2006 IPPC Guidelines for national GHG inventories volume 2 table 4.2.4</t>
  </si>
  <si>
    <t>[ton/TJ]</t>
  </si>
  <si>
    <t>Associated gas</t>
  </si>
  <si>
    <t>[MJ/ton]</t>
  </si>
  <si>
    <t>CH4</t>
  </si>
  <si>
    <t>N2O</t>
  </si>
  <si>
    <t>CO</t>
  </si>
  <si>
    <t>PM</t>
  </si>
  <si>
    <t>NMVOC</t>
  </si>
  <si>
    <t>EF</t>
  </si>
  <si>
    <t>K</t>
  </si>
  <si>
    <t>External reference</t>
  </si>
  <si>
    <t>Internal standard</t>
  </si>
  <si>
    <t>[g/ton fuel]</t>
  </si>
  <si>
    <t>[%]</t>
  </si>
  <si>
    <t>Conventional gas turbine on fuel gas</t>
  </si>
  <si>
    <t>Total</t>
  </si>
  <si>
    <t>GM-EP-ENV-124</t>
  </si>
  <si>
    <t>NAM-PRCENG.SP.01</t>
  </si>
  <si>
    <t>AP42-3.4.1</t>
  </si>
  <si>
    <t>Wintershall</t>
  </si>
  <si>
    <t>3.14 g/m3</t>
  </si>
  <si>
    <t>Gas engine</t>
  </si>
  <si>
    <t>Diesel engine</t>
  </si>
  <si>
    <t>furnace</t>
  </si>
  <si>
    <t>AP42-1.4.2</t>
  </si>
  <si>
    <t>Flare</t>
  </si>
  <si>
    <t>IPPC</t>
  </si>
  <si>
    <t>AP42-13.5.1</t>
  </si>
  <si>
    <t>TAQA</t>
  </si>
  <si>
    <t>Petrogas E&amp;P</t>
  </si>
  <si>
    <t>Vermilion Energy</t>
  </si>
  <si>
    <t>Dana petroleum</t>
  </si>
  <si>
    <t>Nederlandse Aardolie Maatschappij</t>
  </si>
  <si>
    <t>Operator:</t>
  </si>
  <si>
    <t>TOTAL E&amp;P NL</t>
  </si>
  <si>
    <t>Using this document</t>
  </si>
  <si>
    <t xml:space="preserve">By using this document, the operators will use the same method and sequence to report the available emissions. </t>
  </si>
  <si>
    <t xml:space="preserve">This will make the emission registration within the industry much more precisely and profitable. </t>
  </si>
  <si>
    <t>This document is a helping hand for the operators to follow the same procedures.</t>
  </si>
  <si>
    <t xml:space="preserve">Latest update document: </t>
  </si>
  <si>
    <t>Select operator name from dropdown list</t>
  </si>
  <si>
    <t>EPA-42 - tabel 4-11 (zie AP-42 CH4 factor tables sheet)</t>
  </si>
  <si>
    <t>Reporting method</t>
  </si>
  <si>
    <t>Description</t>
  </si>
  <si>
    <t>Stookinstallatie</t>
  </si>
  <si>
    <t>Diffuse emissies</t>
  </si>
  <si>
    <t>3. Meetinstrumenten</t>
  </si>
  <si>
    <t>Unit</t>
  </si>
  <si>
    <t>Select…</t>
  </si>
  <si>
    <t>Laws and regulations</t>
  </si>
  <si>
    <r>
      <t xml:space="preserve">This document is based </t>
    </r>
    <r>
      <rPr>
        <u/>
        <sz val="11"/>
        <color theme="1"/>
        <rFont val="Calibri"/>
        <family val="2"/>
        <scheme val="minor"/>
      </rPr>
      <t>on the overview document</t>
    </r>
    <r>
      <rPr>
        <sz val="11"/>
        <color theme="1"/>
        <rFont val="Calibri"/>
        <family val="2"/>
        <scheme val="minor"/>
      </rPr>
      <t xml:space="preserve">, which is created to get on the same level of the reporting and registration methods of the Dutch oil and gas operators. </t>
    </r>
  </si>
  <si>
    <t>2. EPA</t>
  </si>
  <si>
    <t>1. NER</t>
  </si>
  <si>
    <t>3. Berekenen</t>
  </si>
  <si>
    <t>Berekenen aan de hand van de locaal bepaalde gascompositie</t>
  </si>
  <si>
    <t>2. Modelleren</t>
  </si>
  <si>
    <t>Bijvoorbeeld: FLIR-Camera/Ultrasoon</t>
  </si>
  <si>
    <t>-</t>
  </si>
  <si>
    <t>Routing</t>
  </si>
  <si>
    <t>1. Exhaust</t>
  </si>
  <si>
    <t>2. Flare</t>
  </si>
  <si>
    <t>3. Local vent</t>
  </si>
  <si>
    <t>4. Mechanical seal</t>
  </si>
  <si>
    <t>5. OVC</t>
  </si>
  <si>
    <t>6. Vent stack</t>
  </si>
  <si>
    <t>Condensaatflash en-stabilisatie</t>
  </si>
  <si>
    <t>The license holder takes all reasonable measures to ensure that adverse environmental effects are prevented.</t>
  </si>
  <si>
    <t>Art. 33.1a</t>
  </si>
  <si>
    <t>Art. 40.7</t>
  </si>
  <si>
    <t>The competent authority can amend environmental permits in the interests of the environment</t>
  </si>
  <si>
    <t>Mining Act</t>
  </si>
  <si>
    <t>Onshore NL and Dutch continental shelf (implements the Mining Decree)</t>
  </si>
  <si>
    <t>Onshore NL and Dutch continental shelf (implements the Mining Regulations)</t>
  </si>
  <si>
    <t xml:space="preserve">Spirit Energy </t>
  </si>
  <si>
    <t>g/ton</t>
  </si>
  <si>
    <t>LET OP! Indien per energie-eenheid,  kijken naar de stookwaarde van je gas.</t>
  </si>
  <si>
    <t>Modelleren met operator specifieke programma's of Pro ll / Unisim</t>
  </si>
  <si>
    <t>Ontwerp rendement: torenfakkel &gt;99%</t>
  </si>
  <si>
    <t>Extended project and document manual:</t>
  </si>
  <si>
    <r>
      <rPr>
        <b/>
        <i/>
        <sz val="10"/>
        <rFont val="Times New Roman"/>
        <family val="1"/>
      </rPr>
      <t>Emission Factors Converted to tonne/m</t>
    </r>
    <r>
      <rPr>
        <b/>
        <i/>
        <vertAlign val="superscript"/>
        <sz val="10"/>
        <rFont val="Times New Roman"/>
        <family val="1"/>
      </rPr>
      <t>3</t>
    </r>
    <r>
      <rPr>
        <b/>
        <i/>
        <sz val="10"/>
        <rFont val="Times New Roman"/>
        <family val="1"/>
      </rPr>
      <t xml:space="preserve"> or tonne/10</t>
    </r>
    <r>
      <rPr>
        <b/>
        <i/>
        <vertAlign val="superscript"/>
        <sz val="10"/>
        <rFont val="Times New Roman"/>
        <family val="1"/>
      </rPr>
      <t>12</t>
    </r>
    <r>
      <rPr>
        <b/>
        <i/>
        <sz val="10"/>
        <rFont val="Times New Roman"/>
        <family val="1"/>
      </rPr>
      <t xml:space="preserve"> J (HHV and LHV, as indicated)</t>
    </r>
  </si>
  <si>
    <r>
      <rPr>
        <b/>
        <sz val="10"/>
        <rFont val="Times New Roman"/>
        <family val="1"/>
      </rPr>
      <t>Source</t>
    </r>
  </si>
  <si>
    <r>
      <rPr>
        <b/>
        <sz val="10"/>
        <rFont val="Times New Roman"/>
        <family val="1"/>
      </rPr>
      <t>Methane</t>
    </r>
  </si>
  <si>
    <r>
      <rPr>
        <b/>
        <sz val="10"/>
        <rFont val="Times New Roman"/>
        <family val="1"/>
      </rPr>
      <t xml:space="preserve">Emission Factor
</t>
    </r>
    <r>
      <rPr>
        <b/>
        <sz val="10"/>
        <rFont val="Times New Roman"/>
        <family val="1"/>
      </rPr>
      <t xml:space="preserve">Rating </t>
    </r>
    <r>
      <rPr>
        <b/>
        <vertAlign val="superscript"/>
        <sz val="10"/>
        <rFont val="Times New Roman"/>
        <family val="1"/>
      </rPr>
      <t>d</t>
    </r>
  </si>
  <si>
    <r>
      <rPr>
        <b/>
        <sz val="10"/>
        <rFont val="Times New Roman"/>
        <family val="1"/>
      </rPr>
      <t>Nitrous Oxide</t>
    </r>
  </si>
  <si>
    <r>
      <rPr>
        <b/>
        <sz val="10"/>
        <rFont val="Times New Roman"/>
        <family val="1"/>
      </rPr>
      <t>Source (version date)</t>
    </r>
  </si>
  <si>
    <r>
      <rPr>
        <sz val="10"/>
        <rFont val="Times New Roman"/>
        <family val="1"/>
      </rPr>
      <t>Boilers/furnaces/heaters – Natural gas</t>
    </r>
  </si>
  <si>
    <r>
      <rPr>
        <sz val="10"/>
        <rFont val="Times New Roman"/>
        <family val="1"/>
      </rPr>
      <t>B B</t>
    </r>
  </si>
  <si>
    <r>
      <rPr>
        <sz val="10"/>
        <rFont val="Times New Roman"/>
        <family val="1"/>
      </rPr>
      <t xml:space="preserve">2.7E-04
</t>
    </r>
    <r>
      <rPr>
        <sz val="10"/>
        <rFont val="Times New Roman"/>
        <family val="1"/>
      </rPr>
      <t xml:space="preserve">2.8E-04
</t>
    </r>
    <r>
      <rPr>
        <sz val="10"/>
        <rFont val="Times New Roman"/>
        <family val="1"/>
      </rPr>
      <t xml:space="preserve">9.3E-04
</t>
    </r>
    <r>
      <rPr>
        <sz val="10"/>
        <rFont val="Times New Roman"/>
        <family val="1"/>
      </rPr>
      <t>9.8E-04</t>
    </r>
  </si>
  <si>
    <r>
      <rPr>
        <sz val="10"/>
        <rFont val="Times New Roman"/>
        <family val="1"/>
      </rPr>
      <t>tonne/10</t>
    </r>
    <r>
      <rPr>
        <vertAlign val="superscript"/>
        <sz val="10"/>
        <rFont val="Times New Roman"/>
        <family val="1"/>
      </rPr>
      <t>12</t>
    </r>
    <r>
      <rPr>
        <sz val="10"/>
        <rFont val="Times New Roman"/>
        <family val="1"/>
      </rPr>
      <t xml:space="preserve"> J (HHV) </t>
    </r>
    <r>
      <rPr>
        <vertAlign val="superscript"/>
        <sz val="10"/>
        <rFont val="Times New Roman"/>
        <family val="1"/>
      </rPr>
      <t>a,c</t>
    </r>
    <r>
      <rPr>
        <sz val="10"/>
        <rFont val="Times New Roman"/>
        <family val="1"/>
      </rPr>
      <t xml:space="preserve"> tonne/10</t>
    </r>
    <r>
      <rPr>
        <vertAlign val="superscript"/>
        <sz val="10"/>
        <rFont val="Times New Roman"/>
        <family val="1"/>
      </rPr>
      <t>12</t>
    </r>
    <r>
      <rPr>
        <sz val="10"/>
        <rFont val="Times New Roman"/>
        <family val="1"/>
      </rPr>
      <t xml:space="preserve"> J (LHV) </t>
    </r>
    <r>
      <rPr>
        <vertAlign val="superscript"/>
        <sz val="10"/>
        <rFont val="Times New Roman"/>
        <family val="1"/>
      </rPr>
      <t>a,c</t>
    </r>
    <r>
      <rPr>
        <sz val="10"/>
        <rFont val="Times New Roman"/>
        <family val="1"/>
      </rPr>
      <t xml:space="preserve"> tonne/10</t>
    </r>
    <r>
      <rPr>
        <vertAlign val="superscript"/>
        <sz val="10"/>
        <rFont val="Times New Roman"/>
        <family val="1"/>
      </rPr>
      <t>12</t>
    </r>
    <r>
      <rPr>
        <sz val="10"/>
        <rFont val="Times New Roman"/>
        <family val="1"/>
      </rPr>
      <t xml:space="preserve"> J (HHV) </t>
    </r>
    <r>
      <rPr>
        <vertAlign val="superscript"/>
        <sz val="10"/>
        <rFont val="Times New Roman"/>
        <family val="1"/>
      </rPr>
      <t xml:space="preserve">b,c
</t>
    </r>
    <r>
      <rPr>
        <sz val="10"/>
        <rFont val="Times New Roman"/>
        <family val="1"/>
      </rPr>
      <t>tonne/10</t>
    </r>
    <r>
      <rPr>
        <vertAlign val="superscript"/>
        <sz val="10"/>
        <rFont val="Times New Roman"/>
        <family val="1"/>
      </rPr>
      <t>12</t>
    </r>
    <r>
      <rPr>
        <sz val="10"/>
        <rFont val="Times New Roman"/>
        <family val="1"/>
      </rPr>
      <t xml:space="preserve"> J (LHV) </t>
    </r>
    <r>
      <rPr>
        <vertAlign val="superscript"/>
        <sz val="10"/>
        <rFont val="Times New Roman"/>
        <family val="1"/>
      </rPr>
      <t>b,c</t>
    </r>
  </si>
  <si>
    <r>
      <rPr>
        <sz val="10"/>
        <rFont val="Times New Roman"/>
        <family val="1"/>
      </rPr>
      <t xml:space="preserve">E E
</t>
    </r>
    <r>
      <rPr>
        <sz val="10"/>
        <rFont val="Times New Roman"/>
        <family val="1"/>
      </rPr>
      <t>E E</t>
    </r>
  </si>
  <si>
    <r>
      <rPr>
        <sz val="10"/>
        <rFont val="Times New Roman"/>
        <family val="1"/>
      </rPr>
      <t>AP-42 Table 1.4-2 (7/98) AP-42 Table 1.4-2 (7/98)</t>
    </r>
  </si>
  <si>
    <r>
      <rPr>
        <sz val="10"/>
        <rFont val="Times New Roman"/>
        <family val="1"/>
      </rPr>
      <t xml:space="preserve">Controlled
</t>
    </r>
    <r>
      <rPr>
        <sz val="10"/>
        <rFont val="Times New Roman"/>
        <family val="1"/>
      </rPr>
      <t>Not controlled</t>
    </r>
  </si>
  <si>
    <r>
      <rPr>
        <sz val="10"/>
        <rFont val="Times New Roman"/>
        <family val="1"/>
      </rPr>
      <t xml:space="preserve">9.7E-04
</t>
    </r>
    <r>
      <rPr>
        <sz val="10"/>
        <rFont val="Times New Roman"/>
        <family val="1"/>
      </rPr>
      <t xml:space="preserve">1.1E-03
</t>
    </r>
    <r>
      <rPr>
        <sz val="10"/>
        <rFont val="Times New Roman"/>
        <family val="1"/>
      </rPr>
      <t xml:space="preserve">9.7E-04
</t>
    </r>
    <r>
      <rPr>
        <sz val="10"/>
        <rFont val="Times New Roman"/>
        <family val="1"/>
      </rPr>
      <t>1.1E-03</t>
    </r>
  </si>
  <si>
    <r>
      <rPr>
        <sz val="10"/>
        <rFont val="Times New Roman"/>
        <family val="1"/>
      </rPr>
      <t>tonne/10</t>
    </r>
    <r>
      <rPr>
        <vertAlign val="superscript"/>
        <sz val="10"/>
        <rFont val="Times New Roman"/>
        <family val="1"/>
      </rPr>
      <t>12</t>
    </r>
    <r>
      <rPr>
        <sz val="10"/>
        <rFont val="Times New Roman"/>
        <family val="1"/>
      </rPr>
      <t xml:space="preserve"> J (HHV)</t>
    </r>
    <r>
      <rPr>
        <vertAlign val="superscript"/>
        <sz val="10"/>
        <rFont val="Times New Roman"/>
        <family val="1"/>
      </rPr>
      <t>c</t>
    </r>
    <r>
      <rPr>
        <sz val="10"/>
        <rFont val="Times New Roman"/>
        <family val="1"/>
      </rPr>
      <t xml:space="preserve"> tonne/10</t>
    </r>
    <r>
      <rPr>
        <vertAlign val="superscript"/>
        <sz val="10"/>
        <rFont val="Times New Roman"/>
        <family val="1"/>
      </rPr>
      <t>12</t>
    </r>
    <r>
      <rPr>
        <sz val="10"/>
        <rFont val="Times New Roman"/>
        <family val="1"/>
      </rPr>
      <t xml:space="preserve"> J (LHV)</t>
    </r>
    <r>
      <rPr>
        <vertAlign val="superscript"/>
        <sz val="10"/>
        <rFont val="Times New Roman"/>
        <family val="1"/>
      </rPr>
      <t xml:space="preserve">c
</t>
    </r>
    <r>
      <rPr>
        <sz val="10"/>
        <rFont val="Times New Roman"/>
        <family val="1"/>
      </rPr>
      <t>tonne/10</t>
    </r>
    <r>
      <rPr>
        <vertAlign val="superscript"/>
        <sz val="10"/>
        <rFont val="Times New Roman"/>
        <family val="1"/>
      </rPr>
      <t>12</t>
    </r>
    <r>
      <rPr>
        <sz val="10"/>
        <rFont val="Times New Roman"/>
        <family val="1"/>
      </rPr>
      <t xml:space="preserve"> J (HHV)</t>
    </r>
    <r>
      <rPr>
        <vertAlign val="superscript"/>
        <sz val="10"/>
        <rFont val="Times New Roman"/>
        <family val="1"/>
      </rPr>
      <t>c</t>
    </r>
    <r>
      <rPr>
        <sz val="10"/>
        <rFont val="Times New Roman"/>
        <family val="1"/>
      </rPr>
      <t xml:space="preserve"> tonne/10</t>
    </r>
    <r>
      <rPr>
        <vertAlign val="superscript"/>
        <sz val="10"/>
        <rFont val="Times New Roman"/>
        <family val="1"/>
      </rPr>
      <t>12</t>
    </r>
    <r>
      <rPr>
        <sz val="10"/>
        <rFont val="Times New Roman"/>
        <family val="1"/>
      </rPr>
      <t xml:space="preserve"> J (LHV)</t>
    </r>
    <r>
      <rPr>
        <vertAlign val="superscript"/>
        <sz val="10"/>
        <rFont val="Times New Roman"/>
        <family val="1"/>
      </rPr>
      <t>c</t>
    </r>
  </si>
  <si>
    <r>
      <rPr>
        <sz val="10"/>
        <rFont val="Times New Roman"/>
        <family val="1"/>
      </rPr>
      <t>Boilers/furnaces/heaters – Diesel</t>
    </r>
  </si>
  <si>
    <r>
      <rPr>
        <sz val="10"/>
        <rFont val="Times New Roman"/>
        <family val="1"/>
      </rPr>
      <t>tonne/ tonne</t>
    </r>
  </si>
  <si>
    <r>
      <rPr>
        <sz val="10"/>
        <rFont val="Times New Roman"/>
        <family val="1"/>
      </rPr>
      <t xml:space="preserve">Not
</t>
    </r>
    <r>
      <rPr>
        <sz val="10"/>
        <rFont val="Times New Roman"/>
        <family val="1"/>
      </rPr>
      <t>available</t>
    </r>
  </si>
  <si>
    <r>
      <rPr>
        <sz val="10"/>
        <rFont val="Times New Roman"/>
        <family val="1"/>
      </rPr>
      <t>Not available</t>
    </r>
  </si>
  <si>
    <r>
      <rPr>
        <sz val="10"/>
        <rFont val="Times New Roman"/>
        <family val="1"/>
      </rPr>
      <t>E&amp;P Forum, 1994</t>
    </r>
  </si>
  <si>
    <r>
      <rPr>
        <sz val="10"/>
        <rFont val="Times New Roman"/>
        <family val="1"/>
      </rPr>
      <t>Heater – Refinery fuel gas (low H</t>
    </r>
    <r>
      <rPr>
        <vertAlign val="subscript"/>
        <sz val="10"/>
        <rFont val="Times New Roman"/>
        <family val="1"/>
      </rPr>
      <t>2</t>
    </r>
    <r>
      <rPr>
        <sz val="10"/>
        <rFont val="Times New Roman"/>
        <family val="1"/>
      </rPr>
      <t>-content gas)</t>
    </r>
  </si>
  <si>
    <r>
      <rPr>
        <sz val="10"/>
        <rFont val="Times New Roman"/>
        <family val="1"/>
      </rPr>
      <t>Not available Not available Not available</t>
    </r>
  </si>
  <si>
    <r>
      <rPr>
        <sz val="10"/>
        <rFont val="Times New Roman"/>
        <family val="1"/>
      </rPr>
      <t>&lt; 9.9 x 10</t>
    </r>
    <r>
      <rPr>
        <vertAlign val="superscript"/>
        <sz val="10"/>
        <rFont val="Times New Roman"/>
        <family val="1"/>
      </rPr>
      <t>6</t>
    </r>
    <r>
      <rPr>
        <sz val="10"/>
        <rFont val="Times New Roman"/>
        <family val="1"/>
      </rPr>
      <t xml:space="preserve"> Btu/hr
</t>
    </r>
    <r>
      <rPr>
        <sz val="10"/>
        <rFont val="Times New Roman"/>
        <family val="1"/>
      </rPr>
      <t>9.9 – 99 x 10</t>
    </r>
    <r>
      <rPr>
        <vertAlign val="superscript"/>
        <sz val="10"/>
        <rFont val="Times New Roman"/>
        <family val="1"/>
      </rPr>
      <t>6</t>
    </r>
    <r>
      <rPr>
        <sz val="10"/>
        <rFont val="Times New Roman"/>
        <family val="1"/>
      </rPr>
      <t xml:space="preserve"> Btu/hr
</t>
    </r>
    <r>
      <rPr>
        <sz val="10"/>
        <rFont val="Times New Roman"/>
        <family val="1"/>
      </rPr>
      <t>&gt; 99 x 10</t>
    </r>
    <r>
      <rPr>
        <vertAlign val="superscript"/>
        <sz val="10"/>
        <rFont val="Times New Roman"/>
        <family val="1"/>
      </rPr>
      <t>6</t>
    </r>
    <r>
      <rPr>
        <sz val="10"/>
        <rFont val="Times New Roman"/>
        <family val="1"/>
      </rPr>
      <t xml:space="preserve"> Btu/hr</t>
    </r>
  </si>
  <si>
    <r>
      <rPr>
        <sz val="10"/>
        <rFont val="Times New Roman"/>
        <family val="1"/>
      </rPr>
      <t xml:space="preserve">2.63E-04
</t>
    </r>
    <r>
      <rPr>
        <sz val="10"/>
        <rFont val="Times New Roman"/>
        <family val="1"/>
      </rPr>
      <t xml:space="preserve">2.92E-04
</t>
    </r>
    <r>
      <rPr>
        <sz val="10"/>
        <rFont val="Times New Roman"/>
        <family val="1"/>
      </rPr>
      <t xml:space="preserve">2.93E-04
</t>
    </r>
    <r>
      <rPr>
        <sz val="10"/>
        <rFont val="Times New Roman"/>
        <family val="1"/>
      </rPr>
      <t xml:space="preserve">3.26E-04
</t>
    </r>
    <r>
      <rPr>
        <sz val="10"/>
        <rFont val="Times New Roman"/>
        <family val="1"/>
      </rPr>
      <t xml:space="preserve">2.93E-04
</t>
    </r>
    <r>
      <rPr>
        <sz val="10"/>
        <rFont val="Times New Roman"/>
        <family val="1"/>
      </rPr>
      <t>3.26E-04</t>
    </r>
  </si>
  <si>
    <r>
      <rPr>
        <sz val="10"/>
        <rFont val="Times New Roman"/>
        <family val="1"/>
      </rPr>
      <t>tonne/10</t>
    </r>
    <r>
      <rPr>
        <vertAlign val="superscript"/>
        <sz val="10"/>
        <rFont val="Times New Roman"/>
        <family val="1"/>
      </rPr>
      <t>12</t>
    </r>
    <r>
      <rPr>
        <sz val="10"/>
        <rFont val="Times New Roman"/>
        <family val="1"/>
      </rPr>
      <t xml:space="preserve"> J (HHV) tonne/10</t>
    </r>
    <r>
      <rPr>
        <vertAlign val="superscript"/>
        <sz val="10"/>
        <rFont val="Times New Roman"/>
        <family val="1"/>
      </rPr>
      <t>12</t>
    </r>
    <r>
      <rPr>
        <sz val="10"/>
        <rFont val="Times New Roman"/>
        <family val="1"/>
      </rPr>
      <t xml:space="preserve"> J (LHV) tonne/10</t>
    </r>
    <r>
      <rPr>
        <vertAlign val="superscript"/>
        <sz val="10"/>
        <rFont val="Times New Roman"/>
        <family val="1"/>
      </rPr>
      <t>12</t>
    </r>
    <r>
      <rPr>
        <sz val="10"/>
        <rFont val="Times New Roman"/>
        <family val="1"/>
      </rPr>
      <t xml:space="preserve"> J (HHV) tonne/10</t>
    </r>
    <r>
      <rPr>
        <vertAlign val="superscript"/>
        <sz val="10"/>
        <rFont val="Times New Roman"/>
        <family val="1"/>
      </rPr>
      <t>12</t>
    </r>
    <r>
      <rPr>
        <sz val="10"/>
        <rFont val="Times New Roman"/>
        <family val="1"/>
      </rPr>
      <t xml:space="preserve"> J (LHV) tonne/10</t>
    </r>
    <r>
      <rPr>
        <vertAlign val="superscript"/>
        <sz val="10"/>
        <rFont val="Times New Roman"/>
        <family val="1"/>
      </rPr>
      <t>12</t>
    </r>
    <r>
      <rPr>
        <sz val="10"/>
        <rFont val="Times New Roman"/>
        <family val="1"/>
      </rPr>
      <t xml:space="preserve"> J (HHV)
</t>
    </r>
    <r>
      <rPr>
        <sz val="10"/>
        <rFont val="Times New Roman"/>
        <family val="1"/>
      </rPr>
      <t>tonne/10</t>
    </r>
    <r>
      <rPr>
        <vertAlign val="superscript"/>
        <sz val="10"/>
        <rFont val="Times New Roman"/>
        <family val="1"/>
      </rPr>
      <t>12</t>
    </r>
    <r>
      <rPr>
        <sz val="10"/>
        <rFont val="Times New Roman"/>
        <family val="1"/>
      </rPr>
      <t xml:space="preserve"> J (LHV)</t>
    </r>
  </si>
  <si>
    <r>
      <rPr>
        <sz val="10"/>
        <rFont val="Times New Roman"/>
        <family val="1"/>
      </rPr>
      <t xml:space="preserve">3.50E-05
</t>
    </r>
    <r>
      <rPr>
        <sz val="10"/>
        <rFont val="Times New Roman"/>
        <family val="1"/>
      </rPr>
      <t>3.89E-05</t>
    </r>
  </si>
  <si>
    <r>
      <rPr>
        <sz val="10"/>
        <rFont val="Times New Roman"/>
        <family val="1"/>
      </rPr>
      <t xml:space="preserve">Not available
</t>
    </r>
    <r>
      <rPr>
        <sz val="10"/>
        <rFont val="Times New Roman"/>
        <family val="1"/>
      </rPr>
      <t>tonne/10</t>
    </r>
    <r>
      <rPr>
        <vertAlign val="superscript"/>
        <sz val="10"/>
        <rFont val="Times New Roman"/>
        <family val="1"/>
      </rPr>
      <t>12</t>
    </r>
    <r>
      <rPr>
        <sz val="10"/>
        <rFont val="Times New Roman"/>
        <family val="1"/>
      </rPr>
      <t xml:space="preserve"> J (HHV) tonne/10</t>
    </r>
    <r>
      <rPr>
        <vertAlign val="superscript"/>
        <sz val="10"/>
        <rFont val="Times New Roman"/>
        <family val="1"/>
      </rPr>
      <t>12</t>
    </r>
    <r>
      <rPr>
        <sz val="10"/>
        <rFont val="Times New Roman"/>
        <family val="1"/>
      </rPr>
      <t xml:space="preserve"> J (LHV)
</t>
    </r>
    <r>
      <rPr>
        <sz val="10"/>
        <rFont val="Times New Roman"/>
        <family val="1"/>
      </rPr>
      <t>Not available</t>
    </r>
  </si>
  <si>
    <r>
      <rPr>
        <sz val="10"/>
        <rFont val="Times New Roman"/>
        <family val="1"/>
      </rPr>
      <t>Table 6.4 of ARPEL, 1998</t>
    </r>
  </si>
  <si>
    <r>
      <rPr>
        <b/>
        <i/>
        <sz val="10"/>
        <rFont val="Times New Roman"/>
        <family val="1"/>
      </rPr>
      <t>Original Units</t>
    </r>
  </si>
  <si>
    <r>
      <rPr>
        <b/>
        <sz val="10"/>
        <rFont val="Times New Roman"/>
        <family val="1"/>
      </rPr>
      <t xml:space="preserve">Emission
</t>
    </r>
    <r>
      <rPr>
        <b/>
        <sz val="10"/>
        <rFont val="Times New Roman"/>
        <family val="1"/>
      </rPr>
      <t>Factor Rating</t>
    </r>
  </si>
  <si>
    <r>
      <rPr>
        <b/>
        <sz val="10"/>
        <rFont val="Times New Roman"/>
        <family val="1"/>
      </rPr>
      <t>CH</t>
    </r>
    <r>
      <rPr>
        <b/>
        <vertAlign val="subscript"/>
        <sz val="10"/>
        <rFont val="Times New Roman"/>
        <family val="1"/>
      </rPr>
      <t xml:space="preserve">4
</t>
    </r>
    <r>
      <rPr>
        <b/>
        <sz val="10"/>
        <rFont val="Times New Roman"/>
        <family val="1"/>
      </rPr>
      <t>Reference</t>
    </r>
  </si>
  <si>
    <r>
      <rPr>
        <b/>
        <sz val="10"/>
        <rFont val="Times New Roman"/>
        <family val="1"/>
      </rPr>
      <t>Emission Factor Rating</t>
    </r>
  </si>
  <si>
    <r>
      <rPr>
        <b/>
        <sz val="10"/>
        <rFont val="Times New Roman"/>
        <family val="1"/>
      </rPr>
      <t>N</t>
    </r>
    <r>
      <rPr>
        <b/>
        <vertAlign val="subscript"/>
        <sz val="10"/>
        <rFont val="Times New Roman"/>
        <family val="1"/>
      </rPr>
      <t>2</t>
    </r>
    <r>
      <rPr>
        <b/>
        <sz val="10"/>
        <rFont val="Times New Roman"/>
        <family val="1"/>
      </rPr>
      <t xml:space="preserve">O
</t>
    </r>
    <r>
      <rPr>
        <b/>
        <sz val="10"/>
        <rFont val="Times New Roman"/>
        <family val="1"/>
      </rPr>
      <t>Reference</t>
    </r>
  </si>
  <si>
    <r>
      <rPr>
        <sz val="10"/>
        <rFont val="Times New Roman"/>
        <family val="1"/>
      </rPr>
      <t>IC Engines</t>
    </r>
  </si>
  <si>
    <r>
      <rPr>
        <sz val="10"/>
        <rFont val="Times New Roman"/>
        <family val="1"/>
      </rPr>
      <t xml:space="preserve">2 cycle lean – Natural  Gas 4 cycle lean – Natural  Gas 4 cycle rich – Natural  Gas Gasoline
</t>
    </r>
    <r>
      <rPr>
        <sz val="10"/>
        <rFont val="Times New Roman"/>
        <family val="1"/>
      </rPr>
      <t xml:space="preserve">Diesel
</t>
    </r>
    <r>
      <rPr>
        <sz val="10"/>
        <rFont val="Times New Roman"/>
        <family val="1"/>
      </rPr>
      <t xml:space="preserve">Large Bore–Diesel (&gt; 600 hp)
</t>
    </r>
    <r>
      <rPr>
        <sz val="10"/>
        <rFont val="Times New Roman"/>
        <family val="1"/>
      </rPr>
      <t>Dual Fuel (95% Nat Gas/ 5%Diesel)</t>
    </r>
  </si>
  <si>
    <r>
      <rPr>
        <sz val="10"/>
        <rFont val="Times New Roman"/>
        <family val="1"/>
      </rPr>
      <t xml:space="preserve">1.45
</t>
    </r>
    <r>
      <rPr>
        <sz val="10"/>
        <rFont val="Times New Roman"/>
        <family val="1"/>
      </rPr>
      <t xml:space="preserve">1.25
</t>
    </r>
    <r>
      <rPr>
        <sz val="10"/>
        <rFont val="Times New Roman"/>
        <family val="1"/>
      </rPr>
      <t xml:space="preserve">0.23
</t>
    </r>
    <r>
      <rPr>
        <sz val="10"/>
        <rFont val="Times New Roman"/>
        <family val="1"/>
      </rPr>
      <t xml:space="preserve">3.03
</t>
    </r>
    <r>
      <rPr>
        <sz val="10"/>
        <rFont val="Times New Roman"/>
        <family val="1"/>
      </rPr>
      <t xml:space="preserve">0.36
</t>
    </r>
    <r>
      <rPr>
        <sz val="10"/>
        <rFont val="Times New Roman"/>
        <family val="1"/>
      </rPr>
      <t xml:space="preserve">0.0081
</t>
    </r>
    <r>
      <rPr>
        <sz val="10"/>
        <rFont val="Times New Roman"/>
        <family val="1"/>
      </rPr>
      <t>0.6</t>
    </r>
  </si>
  <si>
    <r>
      <rPr>
        <sz val="10"/>
        <rFont val="Times New Roman"/>
        <family val="1"/>
      </rPr>
      <t>lb/10</t>
    </r>
    <r>
      <rPr>
        <vertAlign val="superscript"/>
        <sz val="10"/>
        <rFont val="Times New Roman"/>
        <family val="1"/>
      </rPr>
      <t>6</t>
    </r>
    <r>
      <rPr>
        <sz val="10"/>
        <rFont val="Times New Roman"/>
        <family val="1"/>
      </rPr>
      <t xml:space="preserve"> Btu (HHV) lb/10</t>
    </r>
    <r>
      <rPr>
        <vertAlign val="superscript"/>
        <sz val="10"/>
        <rFont val="Times New Roman"/>
        <family val="1"/>
      </rPr>
      <t>6</t>
    </r>
    <r>
      <rPr>
        <sz val="10"/>
        <rFont val="Times New Roman"/>
        <family val="1"/>
      </rPr>
      <t xml:space="preserve"> Btu (HHV) lb/10</t>
    </r>
    <r>
      <rPr>
        <vertAlign val="superscript"/>
        <sz val="10"/>
        <rFont val="Times New Roman"/>
        <family val="1"/>
      </rPr>
      <t>6</t>
    </r>
    <r>
      <rPr>
        <sz val="10"/>
        <rFont val="Times New Roman"/>
        <family val="1"/>
      </rPr>
      <t xml:space="preserve"> Btu (HHV)
</t>
    </r>
    <r>
      <rPr>
        <sz val="10"/>
        <rFont val="Times New Roman"/>
        <family val="1"/>
      </rPr>
      <t>lb TOC/ 10</t>
    </r>
    <r>
      <rPr>
        <vertAlign val="superscript"/>
        <sz val="10"/>
        <rFont val="Times New Roman"/>
        <family val="1"/>
      </rPr>
      <t>6</t>
    </r>
    <r>
      <rPr>
        <sz val="10"/>
        <rFont val="Times New Roman"/>
        <family val="1"/>
      </rPr>
      <t xml:space="preserve"> Btu (HHV) </t>
    </r>
    <r>
      <rPr>
        <vertAlign val="superscript"/>
        <sz val="10"/>
        <rFont val="Times New Roman"/>
        <family val="1"/>
      </rPr>
      <t>a</t>
    </r>
    <r>
      <rPr>
        <sz val="10"/>
        <rFont val="Times New Roman"/>
        <family val="1"/>
      </rPr>
      <t xml:space="preserve"> lb TOC/ 10</t>
    </r>
    <r>
      <rPr>
        <vertAlign val="superscript"/>
        <sz val="10"/>
        <rFont val="Times New Roman"/>
        <family val="1"/>
      </rPr>
      <t>6</t>
    </r>
    <r>
      <rPr>
        <sz val="10"/>
        <rFont val="Times New Roman"/>
        <family val="1"/>
      </rPr>
      <t xml:space="preserve"> Btu (HHV) </t>
    </r>
    <r>
      <rPr>
        <vertAlign val="superscript"/>
        <sz val="10"/>
        <rFont val="Times New Roman"/>
        <family val="1"/>
      </rPr>
      <t>a</t>
    </r>
    <r>
      <rPr>
        <sz val="10"/>
        <rFont val="Times New Roman"/>
        <family val="1"/>
      </rPr>
      <t xml:space="preserve"> lb/10</t>
    </r>
    <r>
      <rPr>
        <vertAlign val="superscript"/>
        <sz val="10"/>
        <rFont val="Times New Roman"/>
        <family val="1"/>
      </rPr>
      <t>6</t>
    </r>
    <r>
      <rPr>
        <sz val="10"/>
        <rFont val="Times New Roman"/>
        <family val="1"/>
      </rPr>
      <t xml:space="preserve"> Btu (HHV) </t>
    </r>
    <r>
      <rPr>
        <vertAlign val="superscript"/>
        <sz val="10"/>
        <rFont val="Times New Roman"/>
        <family val="1"/>
      </rPr>
      <t xml:space="preserve">b
</t>
    </r>
    <r>
      <rPr>
        <sz val="10"/>
        <rFont val="Times New Roman"/>
        <family val="1"/>
      </rPr>
      <t>lb/10</t>
    </r>
    <r>
      <rPr>
        <vertAlign val="superscript"/>
        <sz val="10"/>
        <rFont val="Times New Roman"/>
        <family val="1"/>
      </rPr>
      <t>6</t>
    </r>
    <r>
      <rPr>
        <sz val="10"/>
        <rFont val="Times New Roman"/>
        <family val="1"/>
      </rPr>
      <t xml:space="preserve"> Btu (HHV)</t>
    </r>
  </si>
  <si>
    <r>
      <rPr>
        <sz val="10"/>
        <rFont val="Times New Roman"/>
        <family val="1"/>
      </rPr>
      <t xml:space="preserve">C C C
</t>
    </r>
    <r>
      <rPr>
        <sz val="10"/>
        <rFont val="Times New Roman"/>
        <family val="1"/>
      </rPr>
      <t xml:space="preserve">D,E
</t>
    </r>
    <r>
      <rPr>
        <sz val="10"/>
        <rFont val="Times New Roman"/>
        <family val="1"/>
      </rPr>
      <t xml:space="preserve">D,E E
</t>
    </r>
    <r>
      <rPr>
        <sz val="10"/>
        <rFont val="Times New Roman"/>
        <family val="1"/>
      </rPr>
      <t>E</t>
    </r>
  </si>
  <si>
    <r>
      <rPr>
        <sz val="10"/>
        <rFont val="Times New Roman"/>
        <family val="1"/>
      </rPr>
      <t xml:space="preserve">AP-42, Table 3.2-1 (7/00) AP-42, Table 3.2-2 (7/00) AP-42, Table 3.2-3 (7/00) AP-42, Table 3.3-1 (10/96) AP-42, Table 3.3-1 (10/96) AP-42, Table 3.4-1 ( 10/96)
</t>
    </r>
    <r>
      <rPr>
        <sz val="10"/>
        <rFont val="Times New Roman"/>
        <family val="1"/>
      </rPr>
      <t>AP-42, Table 3.4-1 (10/96)</t>
    </r>
  </si>
  <si>
    <r>
      <rPr>
        <sz val="10"/>
        <rFont val="Times New Roman"/>
        <family val="1"/>
      </rPr>
      <t>Refer to Table 4-5</t>
    </r>
  </si>
  <si>
    <r>
      <rPr>
        <sz val="10"/>
        <rFont val="Times New Roman"/>
        <family val="1"/>
      </rPr>
      <t>Uncontrolled</t>
    </r>
  </si>
  <si>
    <r>
      <rPr>
        <sz val="10"/>
        <rFont val="Times New Roman"/>
        <family val="1"/>
      </rPr>
      <t>lb/10</t>
    </r>
    <r>
      <rPr>
        <vertAlign val="superscript"/>
        <sz val="10"/>
        <rFont val="Times New Roman"/>
        <family val="1"/>
      </rPr>
      <t>6</t>
    </r>
    <r>
      <rPr>
        <sz val="10"/>
        <rFont val="Times New Roman"/>
        <family val="1"/>
      </rPr>
      <t xml:space="preserve"> Btu (HHV)</t>
    </r>
  </si>
  <si>
    <r>
      <rPr>
        <sz val="10"/>
        <rFont val="Times New Roman"/>
        <family val="1"/>
      </rPr>
      <t>C</t>
    </r>
  </si>
  <si>
    <r>
      <rPr>
        <sz val="10"/>
        <rFont val="Times New Roman"/>
        <family val="1"/>
      </rPr>
      <t>AP-42, Table 3.1-2a (4/00)</t>
    </r>
  </si>
  <si>
    <r>
      <rPr>
        <sz val="10"/>
        <rFont val="Times New Roman"/>
        <family val="1"/>
      </rPr>
      <t>lb/10</t>
    </r>
    <r>
      <rPr>
        <vertAlign val="superscript"/>
        <sz val="10"/>
        <rFont val="Times New Roman"/>
        <family val="1"/>
      </rPr>
      <t>6</t>
    </r>
    <r>
      <rPr>
        <sz val="10"/>
        <rFont val="Times New Roman"/>
        <family val="1"/>
      </rPr>
      <t xml:space="preserve"> Btu (HHV) </t>
    </r>
    <r>
      <rPr>
        <vertAlign val="superscript"/>
        <sz val="10"/>
        <rFont val="Times New Roman"/>
        <family val="1"/>
      </rPr>
      <t>c</t>
    </r>
  </si>
  <si>
    <r>
      <rPr>
        <sz val="10"/>
        <rFont val="Times New Roman"/>
        <family val="1"/>
      </rPr>
      <t>E</t>
    </r>
  </si>
  <si>
    <r>
      <rPr>
        <sz val="10"/>
        <rFont val="Times New Roman"/>
        <family val="1"/>
      </rPr>
      <t xml:space="preserve">AP-42,
</t>
    </r>
    <r>
      <rPr>
        <sz val="10"/>
        <rFont val="Times New Roman"/>
        <family val="1"/>
      </rPr>
      <t>Table 3.1- 2a (4/00)</t>
    </r>
  </si>
  <si>
    <r>
      <rPr>
        <b/>
        <i/>
        <sz val="10"/>
        <rFont val="Times New Roman"/>
        <family val="1"/>
      </rPr>
      <t>Units Converted to SI Basis</t>
    </r>
  </si>
  <si>
    <r>
      <rPr>
        <b/>
        <sz val="10"/>
        <rFont val="Times New Roman"/>
        <family val="1"/>
      </rPr>
      <t>AP-42 Reference (version date)</t>
    </r>
  </si>
  <si>
    <r>
      <rPr>
        <b/>
        <sz val="10"/>
        <rFont val="Times New Roman"/>
        <family val="1"/>
      </rPr>
      <t>Reference</t>
    </r>
  </si>
  <si>
    <r>
      <rPr>
        <sz val="10"/>
        <rFont val="Times New Roman"/>
        <family val="1"/>
      </rPr>
      <t>IC Engines, continued</t>
    </r>
  </si>
  <si>
    <r>
      <rPr>
        <sz val="10"/>
        <rFont val="Times New Roman"/>
        <family val="1"/>
      </rPr>
      <t xml:space="preserve">4 cycle rich – Natural Gas Gasoline
</t>
    </r>
    <r>
      <rPr>
        <sz val="10"/>
        <rFont val="Times New Roman"/>
        <family val="1"/>
      </rPr>
      <t xml:space="preserve">Diesel
</t>
    </r>
    <r>
      <rPr>
        <sz val="10"/>
        <rFont val="Times New Roman"/>
        <family val="1"/>
      </rPr>
      <t xml:space="preserve">Large Bore – Diesel (&gt; 600 hp) Dual Fuel (95%
</t>
    </r>
    <r>
      <rPr>
        <sz val="10"/>
        <rFont val="Times New Roman"/>
        <family val="1"/>
      </rPr>
      <t>NG/5% diesel)</t>
    </r>
  </si>
  <si>
    <r>
      <rPr>
        <sz val="10"/>
        <rFont val="Times New Roman"/>
        <family val="1"/>
      </rPr>
      <t>tonne/10</t>
    </r>
    <r>
      <rPr>
        <vertAlign val="superscript"/>
        <sz val="10"/>
        <rFont val="Times New Roman"/>
        <family val="1"/>
      </rPr>
      <t>12</t>
    </r>
    <r>
      <rPr>
        <sz val="10"/>
        <rFont val="Times New Roman"/>
        <family val="1"/>
      </rPr>
      <t xml:space="preserve"> J (HHV) tonne/10</t>
    </r>
    <r>
      <rPr>
        <vertAlign val="superscript"/>
        <sz val="10"/>
        <rFont val="Times New Roman"/>
        <family val="1"/>
      </rPr>
      <t>12</t>
    </r>
    <r>
      <rPr>
        <sz val="10"/>
        <rFont val="Times New Roman"/>
        <family val="1"/>
      </rPr>
      <t xml:space="preserve"> J (LHV)
</t>
    </r>
    <r>
      <rPr>
        <sz val="10"/>
        <rFont val="Times New Roman"/>
        <family val="1"/>
      </rPr>
      <t>tonne TOC/10</t>
    </r>
    <r>
      <rPr>
        <vertAlign val="superscript"/>
        <sz val="10"/>
        <rFont val="Times New Roman"/>
        <family val="1"/>
      </rPr>
      <t>12</t>
    </r>
    <r>
      <rPr>
        <sz val="10"/>
        <rFont val="Times New Roman"/>
        <family val="1"/>
      </rPr>
      <t xml:space="preserve"> J (HHV) </t>
    </r>
    <r>
      <rPr>
        <vertAlign val="superscript"/>
        <sz val="10"/>
        <rFont val="Times New Roman"/>
        <family val="1"/>
      </rPr>
      <t>a</t>
    </r>
    <r>
      <rPr>
        <sz val="10"/>
        <rFont val="Times New Roman"/>
        <family val="1"/>
      </rPr>
      <t xml:space="preserve"> tonne TOC/10</t>
    </r>
    <r>
      <rPr>
        <vertAlign val="superscript"/>
        <sz val="10"/>
        <rFont val="Times New Roman"/>
        <family val="1"/>
      </rPr>
      <t>12</t>
    </r>
    <r>
      <rPr>
        <sz val="10"/>
        <rFont val="Times New Roman"/>
        <family val="1"/>
      </rPr>
      <t xml:space="preserve"> J (LHV) </t>
    </r>
    <r>
      <rPr>
        <vertAlign val="superscript"/>
        <sz val="10"/>
        <rFont val="Times New Roman"/>
        <family val="1"/>
      </rPr>
      <t>a</t>
    </r>
    <r>
      <rPr>
        <sz val="10"/>
        <rFont val="Times New Roman"/>
        <family val="1"/>
      </rPr>
      <t xml:space="preserve"> tonne TOC/10</t>
    </r>
    <r>
      <rPr>
        <vertAlign val="superscript"/>
        <sz val="10"/>
        <rFont val="Times New Roman"/>
        <family val="1"/>
      </rPr>
      <t>12</t>
    </r>
    <r>
      <rPr>
        <sz val="10"/>
        <rFont val="Times New Roman"/>
        <family val="1"/>
      </rPr>
      <t xml:space="preserve"> J (HHV) </t>
    </r>
    <r>
      <rPr>
        <vertAlign val="superscript"/>
        <sz val="10"/>
        <rFont val="Times New Roman"/>
        <family val="1"/>
      </rPr>
      <t>a</t>
    </r>
    <r>
      <rPr>
        <sz val="10"/>
        <rFont val="Times New Roman"/>
        <family val="1"/>
      </rPr>
      <t xml:space="preserve"> tonne TOC/10</t>
    </r>
    <r>
      <rPr>
        <vertAlign val="superscript"/>
        <sz val="10"/>
        <rFont val="Times New Roman"/>
        <family val="1"/>
      </rPr>
      <t>12</t>
    </r>
    <r>
      <rPr>
        <sz val="10"/>
        <rFont val="Times New Roman"/>
        <family val="1"/>
      </rPr>
      <t xml:space="preserve"> J (LHV) </t>
    </r>
    <r>
      <rPr>
        <vertAlign val="superscript"/>
        <sz val="10"/>
        <rFont val="Times New Roman"/>
        <family val="1"/>
      </rPr>
      <t>a</t>
    </r>
    <r>
      <rPr>
        <sz val="10"/>
        <rFont val="Times New Roman"/>
        <family val="1"/>
      </rPr>
      <t xml:space="preserve"> tonne/10</t>
    </r>
    <r>
      <rPr>
        <vertAlign val="superscript"/>
        <sz val="10"/>
        <rFont val="Times New Roman"/>
        <family val="1"/>
      </rPr>
      <t>12</t>
    </r>
    <r>
      <rPr>
        <sz val="10"/>
        <rFont val="Times New Roman"/>
        <family val="1"/>
      </rPr>
      <t xml:space="preserve"> J (HHV) </t>
    </r>
    <r>
      <rPr>
        <vertAlign val="superscript"/>
        <sz val="10"/>
        <rFont val="Times New Roman"/>
        <family val="1"/>
      </rPr>
      <t>b</t>
    </r>
    <r>
      <rPr>
        <sz val="10"/>
        <rFont val="Times New Roman"/>
        <family val="1"/>
      </rPr>
      <t xml:space="preserve"> tonne/10</t>
    </r>
    <r>
      <rPr>
        <vertAlign val="superscript"/>
        <sz val="10"/>
        <rFont val="Times New Roman"/>
        <family val="1"/>
      </rPr>
      <t>12</t>
    </r>
    <r>
      <rPr>
        <sz val="10"/>
        <rFont val="Times New Roman"/>
        <family val="1"/>
      </rPr>
      <t xml:space="preserve"> J (LHV) </t>
    </r>
    <r>
      <rPr>
        <vertAlign val="superscript"/>
        <sz val="10"/>
        <rFont val="Times New Roman"/>
        <family val="1"/>
      </rPr>
      <t>b</t>
    </r>
    <r>
      <rPr>
        <sz val="10"/>
        <rFont val="Times New Roman"/>
        <family val="1"/>
      </rPr>
      <t xml:space="preserve"> tonne/10</t>
    </r>
    <r>
      <rPr>
        <vertAlign val="superscript"/>
        <sz val="10"/>
        <rFont val="Times New Roman"/>
        <family val="1"/>
      </rPr>
      <t>12</t>
    </r>
    <r>
      <rPr>
        <sz val="10"/>
        <rFont val="Times New Roman"/>
        <family val="1"/>
      </rPr>
      <t xml:space="preserve"> J (HHV)
</t>
    </r>
    <r>
      <rPr>
        <sz val="10"/>
        <rFont val="Times New Roman"/>
        <family val="1"/>
      </rPr>
      <t>tonne/10</t>
    </r>
    <r>
      <rPr>
        <vertAlign val="superscript"/>
        <sz val="10"/>
        <rFont val="Times New Roman"/>
        <family val="1"/>
      </rPr>
      <t>12</t>
    </r>
    <r>
      <rPr>
        <sz val="10"/>
        <rFont val="Times New Roman"/>
        <family val="1"/>
      </rPr>
      <t xml:space="preserve"> J (LHV) </t>
    </r>
    <r>
      <rPr>
        <vertAlign val="superscript"/>
        <sz val="10"/>
        <rFont val="Times New Roman"/>
        <family val="1"/>
      </rPr>
      <t>d</t>
    </r>
  </si>
  <si>
    <r>
      <rPr>
        <sz val="10"/>
        <rFont val="Times New Roman"/>
        <family val="1"/>
      </rPr>
      <t xml:space="preserve">C D, E
</t>
    </r>
    <r>
      <rPr>
        <sz val="10"/>
        <rFont val="Times New Roman"/>
        <family val="1"/>
      </rPr>
      <t xml:space="preserve">D, E E
</t>
    </r>
    <r>
      <rPr>
        <sz val="10"/>
        <rFont val="Times New Roman"/>
        <family val="1"/>
      </rPr>
      <t>E</t>
    </r>
  </si>
  <si>
    <r>
      <rPr>
        <sz val="10"/>
        <rFont val="Times New Roman"/>
        <family val="1"/>
      </rPr>
      <t xml:space="preserve">AP-42, Table 3.2-3 (7/00)
</t>
    </r>
    <r>
      <rPr>
        <sz val="10"/>
        <rFont val="Times New Roman"/>
        <family val="1"/>
      </rPr>
      <t xml:space="preserve">AP-42, Table 3.3-1 (10/96)
</t>
    </r>
    <r>
      <rPr>
        <sz val="10"/>
        <rFont val="Times New Roman"/>
        <family val="1"/>
      </rPr>
      <t xml:space="preserve">AP-42, Table 3.3-1 (10/96)
</t>
    </r>
    <r>
      <rPr>
        <sz val="10"/>
        <rFont val="Times New Roman"/>
        <family val="1"/>
      </rPr>
      <t xml:space="preserve">AP-42, Table 3.4-1 ( 10/96)
</t>
    </r>
    <r>
      <rPr>
        <sz val="10"/>
        <rFont val="Times New Roman"/>
        <family val="1"/>
      </rPr>
      <t>AP-42, Table 3.4-1 (10/96)</t>
    </r>
  </si>
  <si>
    <r>
      <rPr>
        <sz val="10"/>
        <rFont val="Times New Roman"/>
        <family val="1"/>
      </rPr>
      <t xml:space="preserve">0.0037
</t>
    </r>
    <r>
      <rPr>
        <sz val="10"/>
        <rFont val="Times New Roman"/>
        <family val="1"/>
      </rPr>
      <t>0.0041</t>
    </r>
  </si>
  <si>
    <r>
      <rPr>
        <sz val="10"/>
        <rFont val="Times New Roman"/>
        <family val="1"/>
      </rPr>
      <t>tonne/10</t>
    </r>
    <r>
      <rPr>
        <vertAlign val="superscript"/>
        <sz val="10"/>
        <rFont val="Times New Roman"/>
        <family val="1"/>
      </rPr>
      <t>12</t>
    </r>
    <r>
      <rPr>
        <sz val="10"/>
        <rFont val="Times New Roman"/>
        <family val="1"/>
      </rPr>
      <t xml:space="preserve"> J (HHV)
</t>
    </r>
    <r>
      <rPr>
        <sz val="10"/>
        <rFont val="Times New Roman"/>
        <family val="1"/>
      </rPr>
      <t>tonne/10</t>
    </r>
    <r>
      <rPr>
        <vertAlign val="superscript"/>
        <sz val="10"/>
        <rFont val="Times New Roman"/>
        <family val="1"/>
      </rPr>
      <t>12</t>
    </r>
    <r>
      <rPr>
        <sz val="10"/>
        <rFont val="Times New Roman"/>
        <family val="1"/>
      </rPr>
      <t xml:space="preserve"> J (LHV)</t>
    </r>
  </si>
  <si>
    <r>
      <rPr>
        <sz val="10"/>
        <rFont val="Times New Roman"/>
        <family val="1"/>
      </rPr>
      <t>tonne/10</t>
    </r>
    <r>
      <rPr>
        <vertAlign val="superscript"/>
        <sz val="10"/>
        <rFont val="Times New Roman"/>
        <family val="1"/>
      </rPr>
      <t>12</t>
    </r>
    <r>
      <rPr>
        <sz val="10"/>
        <rFont val="Times New Roman"/>
        <family val="1"/>
      </rPr>
      <t xml:space="preserve"> J (HHV) </t>
    </r>
    <r>
      <rPr>
        <vertAlign val="superscript"/>
        <sz val="10"/>
        <rFont val="Times New Roman"/>
        <family val="1"/>
      </rPr>
      <t>c</t>
    </r>
  </si>
  <si>
    <r>
      <rPr>
        <sz val="10"/>
        <rFont val="Times New Roman"/>
        <family val="1"/>
      </rPr>
      <t>AP-42, Table 3.1- 2a (4/00)</t>
    </r>
  </si>
  <si>
    <r>
      <rPr>
        <sz val="10"/>
        <rFont val="Times New Roman"/>
        <family val="1"/>
      </rPr>
      <t>tonne/10</t>
    </r>
    <r>
      <rPr>
        <vertAlign val="superscript"/>
        <sz val="10"/>
        <rFont val="Times New Roman"/>
        <family val="1"/>
      </rPr>
      <t>12</t>
    </r>
    <r>
      <rPr>
        <sz val="10"/>
        <rFont val="Times New Roman"/>
        <family val="1"/>
      </rPr>
      <t xml:space="preserve"> J (LHV) </t>
    </r>
    <r>
      <rPr>
        <vertAlign val="superscript"/>
        <sz val="10"/>
        <rFont val="Times New Roman"/>
        <family val="1"/>
      </rPr>
      <t>c</t>
    </r>
  </si>
  <si>
    <r>
      <rPr>
        <b/>
        <i/>
        <sz val="10"/>
        <rFont val="Arial"/>
        <family val="2"/>
      </rPr>
      <t>Units Converted to tonnes/10</t>
    </r>
    <r>
      <rPr>
        <b/>
        <i/>
        <vertAlign val="superscript"/>
        <sz val="10"/>
        <rFont val="Arial"/>
        <family val="2"/>
      </rPr>
      <t>6</t>
    </r>
    <r>
      <rPr>
        <b/>
        <i/>
        <sz val="10"/>
        <rFont val="Arial"/>
        <family val="2"/>
      </rPr>
      <t xml:space="preserve"> m</t>
    </r>
    <r>
      <rPr>
        <b/>
        <i/>
        <vertAlign val="superscript"/>
        <sz val="10"/>
        <rFont val="Arial"/>
        <family val="2"/>
      </rPr>
      <t>3</t>
    </r>
    <r>
      <rPr>
        <b/>
        <i/>
        <sz val="10"/>
        <rFont val="Arial"/>
        <family val="2"/>
      </rPr>
      <t xml:space="preserve"> or tonnes/1000 m</t>
    </r>
    <r>
      <rPr>
        <b/>
        <i/>
        <vertAlign val="superscript"/>
        <sz val="10"/>
        <rFont val="Arial"/>
        <family val="2"/>
      </rPr>
      <t>3</t>
    </r>
  </si>
  <si>
    <r>
      <rPr>
        <b/>
        <sz val="10"/>
        <rFont val="Times New Roman"/>
        <family val="1"/>
      </rPr>
      <t>Flare Source</t>
    </r>
  </si>
  <si>
    <r>
      <rPr>
        <b/>
        <sz val="10"/>
        <rFont val="Times New Roman"/>
        <family val="1"/>
      </rPr>
      <t>Emission Factors</t>
    </r>
  </si>
  <si>
    <r>
      <rPr>
        <b/>
        <sz val="10"/>
        <rFont val="Times New Roman"/>
        <family val="1"/>
      </rPr>
      <t>CO</t>
    </r>
    <r>
      <rPr>
        <b/>
        <vertAlign val="subscript"/>
        <sz val="10"/>
        <rFont val="Times New Roman"/>
        <family val="1"/>
      </rPr>
      <t>2</t>
    </r>
  </si>
  <si>
    <r>
      <rPr>
        <b/>
        <sz val="10"/>
        <rFont val="Times New Roman"/>
        <family val="1"/>
      </rPr>
      <t xml:space="preserve">Uncertainty </t>
    </r>
    <r>
      <rPr>
        <b/>
        <vertAlign val="superscript"/>
        <sz val="10"/>
        <rFont val="Times New Roman"/>
        <family val="1"/>
      </rPr>
      <t xml:space="preserve">b
</t>
    </r>
    <r>
      <rPr>
        <b/>
        <sz val="10"/>
        <rFont val="Times New Roman"/>
        <family val="1"/>
      </rPr>
      <t>(%)</t>
    </r>
  </si>
  <si>
    <r>
      <rPr>
        <b/>
        <sz val="10"/>
        <rFont val="Times New Roman"/>
        <family val="1"/>
      </rPr>
      <t>CH</t>
    </r>
    <r>
      <rPr>
        <b/>
        <vertAlign val="subscript"/>
        <sz val="10"/>
        <rFont val="Times New Roman"/>
        <family val="1"/>
      </rPr>
      <t>4</t>
    </r>
  </si>
  <si>
    <r>
      <rPr>
        <b/>
        <sz val="10"/>
        <rFont val="Times New Roman"/>
        <family val="1"/>
      </rPr>
      <t>N</t>
    </r>
    <r>
      <rPr>
        <b/>
        <vertAlign val="subscript"/>
        <sz val="10"/>
        <rFont val="Times New Roman"/>
        <family val="1"/>
      </rPr>
      <t>2</t>
    </r>
    <r>
      <rPr>
        <b/>
        <sz val="10"/>
        <rFont val="Times New Roman"/>
        <family val="1"/>
      </rPr>
      <t>O</t>
    </r>
  </si>
  <si>
    <r>
      <rPr>
        <b/>
        <sz val="10"/>
        <rFont val="Times New Roman"/>
        <family val="1"/>
      </rPr>
      <t>Units</t>
    </r>
  </si>
  <si>
    <r>
      <rPr>
        <sz val="10"/>
        <rFont val="Times New Roman"/>
        <family val="1"/>
      </rPr>
      <t xml:space="preserve">Flaring - gas production </t>
    </r>
    <r>
      <rPr>
        <vertAlign val="superscript"/>
        <sz val="10"/>
        <rFont val="Times New Roman"/>
        <family val="1"/>
      </rPr>
      <t>c</t>
    </r>
  </si>
  <si>
    <r>
      <rPr>
        <sz val="10"/>
        <rFont val="Times New Roman"/>
        <family val="1"/>
      </rPr>
      <t>±25</t>
    </r>
  </si>
  <si>
    <r>
      <rPr>
        <sz val="10"/>
        <rFont val="Times New Roman"/>
        <family val="1"/>
      </rPr>
      <t>-10 to +1000</t>
    </r>
  </si>
  <si>
    <r>
      <rPr>
        <sz val="10"/>
        <rFont val="Times New Roman"/>
        <family val="1"/>
      </rPr>
      <t>tonnes/10</t>
    </r>
    <r>
      <rPr>
        <vertAlign val="superscript"/>
        <sz val="10"/>
        <rFont val="Times New Roman"/>
        <family val="1"/>
      </rPr>
      <t>6</t>
    </r>
    <r>
      <rPr>
        <sz val="10"/>
        <rFont val="Times New Roman"/>
        <family val="1"/>
      </rPr>
      <t xml:space="preserve"> m</t>
    </r>
    <r>
      <rPr>
        <vertAlign val="superscript"/>
        <sz val="10"/>
        <rFont val="Times New Roman"/>
        <family val="1"/>
      </rPr>
      <t>3</t>
    </r>
    <r>
      <rPr>
        <sz val="10"/>
        <rFont val="Times New Roman"/>
        <family val="1"/>
      </rPr>
      <t xml:space="preserve"> gas production</t>
    </r>
  </si>
  <si>
    <r>
      <rPr>
        <sz val="10"/>
        <rFont val="Times New Roman"/>
        <family val="1"/>
      </rPr>
      <t>Flaring - sweet gas processing</t>
    </r>
  </si>
  <si>
    <r>
      <rPr>
        <sz val="10"/>
        <rFont val="Times New Roman"/>
        <family val="1"/>
      </rPr>
      <t>tonnes/10</t>
    </r>
    <r>
      <rPr>
        <vertAlign val="superscript"/>
        <sz val="10"/>
        <rFont val="Times New Roman"/>
        <family val="1"/>
      </rPr>
      <t>6</t>
    </r>
    <r>
      <rPr>
        <sz val="10"/>
        <rFont val="Times New Roman"/>
        <family val="1"/>
      </rPr>
      <t>m</t>
    </r>
    <r>
      <rPr>
        <vertAlign val="superscript"/>
        <sz val="10"/>
        <rFont val="Times New Roman"/>
        <family val="1"/>
      </rPr>
      <t>3</t>
    </r>
    <r>
      <rPr>
        <sz val="10"/>
        <rFont val="Times New Roman"/>
        <family val="1"/>
      </rPr>
      <t xml:space="preserve"> raw gas feed</t>
    </r>
  </si>
  <si>
    <r>
      <rPr>
        <sz val="10"/>
        <rFont val="Times New Roman"/>
        <family val="1"/>
      </rPr>
      <t>Flaring - sour gas processing</t>
    </r>
  </si>
  <si>
    <r>
      <rPr>
        <sz val="10"/>
        <rFont val="Times New Roman"/>
        <family val="1"/>
      </rPr>
      <t>Flaring - conventional oil production</t>
    </r>
  </si>
  <si>
    <r>
      <rPr>
        <sz val="10"/>
        <rFont val="Times New Roman"/>
        <family val="1"/>
      </rPr>
      <t>±50</t>
    </r>
  </si>
  <si>
    <r>
      <rPr>
        <sz val="10"/>
        <rFont val="Times New Roman"/>
        <family val="1"/>
      </rPr>
      <t>tonnes/10</t>
    </r>
    <r>
      <rPr>
        <vertAlign val="superscript"/>
        <sz val="10"/>
        <rFont val="Times New Roman"/>
        <family val="1"/>
      </rPr>
      <t>3</t>
    </r>
    <r>
      <rPr>
        <sz val="10"/>
        <rFont val="Times New Roman"/>
        <family val="1"/>
      </rPr>
      <t xml:space="preserve"> m</t>
    </r>
    <r>
      <rPr>
        <vertAlign val="superscript"/>
        <sz val="10"/>
        <rFont val="Times New Roman"/>
        <family val="1"/>
      </rPr>
      <t>3</t>
    </r>
    <r>
      <rPr>
        <sz val="10"/>
        <rFont val="Times New Roman"/>
        <family val="1"/>
      </rPr>
      <t xml:space="preserve"> conventional oil production</t>
    </r>
  </si>
  <si>
    <r>
      <rPr>
        <sz val="10"/>
        <rFont val="Times New Roman"/>
        <family val="1"/>
      </rPr>
      <t xml:space="preserve">Flaring - heavy oil/cold bitumen
</t>
    </r>
    <r>
      <rPr>
        <sz val="10"/>
        <rFont val="Times New Roman"/>
        <family val="1"/>
      </rPr>
      <t>production</t>
    </r>
  </si>
  <si>
    <r>
      <rPr>
        <sz val="10"/>
        <rFont val="Times New Roman"/>
        <family val="1"/>
      </rPr>
      <t>±75</t>
    </r>
  </si>
  <si>
    <r>
      <rPr>
        <sz val="10"/>
        <rFont val="Times New Roman"/>
        <family val="1"/>
      </rPr>
      <t>tonnes/10</t>
    </r>
    <r>
      <rPr>
        <vertAlign val="superscript"/>
        <sz val="10"/>
        <rFont val="Times New Roman"/>
        <family val="1"/>
      </rPr>
      <t>3</t>
    </r>
    <r>
      <rPr>
        <sz val="10"/>
        <rFont val="Times New Roman"/>
        <family val="1"/>
      </rPr>
      <t xml:space="preserve"> m</t>
    </r>
    <r>
      <rPr>
        <vertAlign val="superscript"/>
        <sz val="10"/>
        <rFont val="Times New Roman"/>
        <family val="1"/>
      </rPr>
      <t>3</t>
    </r>
    <r>
      <rPr>
        <sz val="10"/>
        <rFont val="Times New Roman"/>
        <family val="1"/>
      </rPr>
      <t xml:space="preserve"> heavy oil
</t>
    </r>
    <r>
      <rPr>
        <sz val="10"/>
        <rFont val="Times New Roman"/>
        <family val="1"/>
      </rPr>
      <t>production</t>
    </r>
  </si>
  <si>
    <r>
      <rPr>
        <sz val="10"/>
        <rFont val="Times New Roman"/>
        <family val="1"/>
      </rPr>
      <t>Flaring - thermal oil production</t>
    </r>
  </si>
  <si>
    <r>
      <rPr>
        <sz val="10"/>
        <rFont val="Times New Roman"/>
        <family val="1"/>
      </rPr>
      <t>tonnes/10</t>
    </r>
    <r>
      <rPr>
        <vertAlign val="superscript"/>
        <sz val="10"/>
        <rFont val="Times New Roman"/>
        <family val="1"/>
      </rPr>
      <t>3</t>
    </r>
    <r>
      <rPr>
        <sz val="10"/>
        <rFont val="Times New Roman"/>
        <family val="1"/>
      </rPr>
      <t xml:space="preserve"> m</t>
    </r>
    <r>
      <rPr>
        <vertAlign val="superscript"/>
        <sz val="10"/>
        <rFont val="Times New Roman"/>
        <family val="1"/>
      </rPr>
      <t>3</t>
    </r>
    <r>
      <rPr>
        <sz val="10"/>
        <rFont val="Times New Roman"/>
        <family val="1"/>
      </rPr>
      <t xml:space="preserve"> thermal bitumen production</t>
    </r>
  </si>
  <si>
    <r>
      <rPr>
        <sz val="10"/>
        <rFont val="Times New Roman"/>
        <family val="1"/>
      </rPr>
      <t xml:space="preserve">Flaring – refining </t>
    </r>
    <r>
      <rPr>
        <vertAlign val="superscript"/>
        <sz val="10"/>
        <rFont val="Times New Roman"/>
        <family val="1"/>
      </rPr>
      <t>d,</t>
    </r>
    <r>
      <rPr>
        <sz val="10"/>
        <rFont val="Times New Roman"/>
        <family val="1"/>
      </rPr>
      <t xml:space="preserve"> </t>
    </r>
    <r>
      <rPr>
        <vertAlign val="superscript"/>
        <sz val="10"/>
        <rFont val="Times New Roman"/>
        <family val="1"/>
      </rPr>
      <t>e</t>
    </r>
  </si>
  <si>
    <r>
      <rPr>
        <sz val="10"/>
        <rFont val="Times New Roman"/>
        <family val="1"/>
      </rPr>
      <t>No data</t>
    </r>
  </si>
  <si>
    <r>
      <rPr>
        <sz val="10"/>
        <rFont val="Times New Roman"/>
        <family val="1"/>
      </rPr>
      <t>tonnes/10</t>
    </r>
    <r>
      <rPr>
        <vertAlign val="superscript"/>
        <sz val="10"/>
        <rFont val="Times New Roman"/>
        <family val="1"/>
      </rPr>
      <t>3</t>
    </r>
    <r>
      <rPr>
        <sz val="10"/>
        <rFont val="Times New Roman"/>
        <family val="1"/>
      </rPr>
      <t xml:space="preserve"> m</t>
    </r>
    <r>
      <rPr>
        <vertAlign val="superscript"/>
        <sz val="10"/>
        <rFont val="Times New Roman"/>
        <family val="1"/>
      </rPr>
      <t>3</t>
    </r>
    <r>
      <rPr>
        <sz val="10"/>
        <rFont val="Times New Roman"/>
        <family val="1"/>
      </rPr>
      <t xml:space="preserve"> refinery feed</t>
    </r>
  </si>
  <si>
    <t>Flaring - table 4-11</t>
  </si>
  <si>
    <t>AP42 table:</t>
  </si>
  <si>
    <t>table 4-7</t>
  </si>
  <si>
    <t>Factor used:</t>
  </si>
  <si>
    <t>table 4-9</t>
  </si>
  <si>
    <t>table 4-11</t>
  </si>
  <si>
    <t>Meten van de flow (toevoer naar de flarestack)</t>
  </si>
  <si>
    <t>EPA-42 - tabellen 4-7/4-9 (zie AP-42 CH4 factor tables sheet)</t>
  </si>
  <si>
    <t xml:space="preserve">Meten van specicifiek methaan gehalte in uitlaatgassen </t>
  </si>
  <si>
    <t>Vaste uitstroomfactoren per type flens/appendage</t>
  </si>
  <si>
    <t>Gericht maintenance programma</t>
  </si>
  <si>
    <t>Furnace</t>
  </si>
  <si>
    <t>IPPC Flare factor</t>
  </si>
  <si>
    <t>Specifieke detail beschrijving door operator</t>
  </si>
  <si>
    <t>Thermische meter/Verschildruk meter/Ultrasoon</t>
  </si>
  <si>
    <t>Meetonzekerheid [%]</t>
  </si>
  <si>
    <t>Inrichting:</t>
  </si>
  <si>
    <t>Density</t>
  </si>
  <si>
    <t>HHV</t>
  </si>
  <si>
    <t>Density [kg/m3]:</t>
  </si>
  <si>
    <t>LHV [MJ/Nm3]:</t>
  </si>
  <si>
    <t>Fill in:</t>
  </si>
  <si>
    <t>Kental</t>
  </si>
  <si>
    <t>Gg/10^6 m3 flared gas</t>
  </si>
  <si>
    <t>0.012, 2.0 and 0.000023 Gg/10^6 m3 of gas flared for CH4, CO2, and N2O, respectively, based on a flaring efficiency of 98% and a typical gas analysis at a gas processing plant (91.9% CH4, 0.58% CO2,</t>
  </si>
  <si>
    <t>AP42 factoren</t>
  </si>
  <si>
    <t>Oranje-Nassau Energy B.V.</t>
  </si>
  <si>
    <t>Version:</t>
  </si>
  <si>
    <t>filled in</t>
  </si>
  <si>
    <t>refferal</t>
  </si>
  <si>
    <t>calculated value</t>
  </si>
  <si>
    <t>background information</t>
  </si>
  <si>
    <t>legend</t>
  </si>
  <si>
    <r>
      <rPr>
        <sz val="10"/>
        <rFont val="Times New Roman"/>
        <family val="1"/>
      </rPr>
      <t>Turbines (</t>
    </r>
    <r>
      <rPr>
        <sz val="10"/>
        <rFont val="Times New Roman"/>
        <family val="1"/>
      </rPr>
      <t>80% load) –  Natural Gas</t>
    </r>
  </si>
  <si>
    <t>tonne/10^12 J</t>
  </si>
  <si>
    <t>Wintershall Noordzee B.V.</t>
  </si>
  <si>
    <t>Gas engine (rich gas)</t>
  </si>
  <si>
    <t>Gas engine (lean gas)</t>
  </si>
  <si>
    <t>ton/ton</t>
  </si>
  <si>
    <r>
      <rPr>
        <sz val="11"/>
        <rFont val="Times New Roman"/>
        <family val="1"/>
      </rPr>
      <t>Table 3.1-3. EMISSION FACTORS FOR HAZARDOUS AIR POLLUTANTS</t>
    </r>
  </si>
  <si>
    <r>
      <rPr>
        <sz val="11"/>
        <rFont val="Times New Roman"/>
        <family val="1"/>
      </rPr>
      <t>FROM NATURAL GAS-FIRED STATIONARY GAS TURBINES</t>
    </r>
    <r>
      <rPr>
        <vertAlign val="superscript"/>
        <sz val="11"/>
        <rFont val="Times New Roman"/>
        <family val="1"/>
      </rPr>
      <t>a</t>
    </r>
  </si>
  <si>
    <r>
      <rPr>
        <sz val="11"/>
        <rFont val="Times New Roman"/>
        <family val="1"/>
      </rPr>
      <t>Emission Factors</t>
    </r>
    <r>
      <rPr>
        <vertAlign val="superscript"/>
        <sz val="11"/>
        <rFont val="Times New Roman"/>
        <family val="1"/>
      </rPr>
      <t>b</t>
    </r>
    <r>
      <rPr>
        <sz val="11"/>
        <rFont val="Times New Roman"/>
        <family val="1"/>
      </rPr>
      <t xml:space="preserve"> - Uncontrolled</t>
    </r>
  </si>
  <si>
    <r>
      <rPr>
        <sz val="11"/>
        <rFont val="Times New Roman"/>
        <family val="1"/>
      </rPr>
      <t>Pollutant</t>
    </r>
  </si>
  <si>
    <r>
      <rPr>
        <sz val="11"/>
        <rFont val="Times New Roman"/>
        <family val="1"/>
      </rPr>
      <t>Emission Factor</t>
    </r>
  </si>
  <si>
    <r>
      <rPr>
        <sz val="11"/>
        <rFont val="Times New Roman"/>
        <family val="1"/>
      </rPr>
      <t>Emission Factor Rating</t>
    </r>
  </si>
  <si>
    <r>
      <rPr>
        <sz val="11"/>
        <rFont val="Times New Roman"/>
        <family val="1"/>
      </rPr>
      <t>(lb/MMBtu)</t>
    </r>
    <r>
      <rPr>
        <vertAlign val="superscript"/>
        <sz val="11"/>
        <rFont val="Times New Roman"/>
        <family val="1"/>
      </rPr>
      <t>c</t>
    </r>
  </si>
  <si>
    <r>
      <rPr>
        <sz val="11"/>
        <rFont val="Times New Roman"/>
        <family val="1"/>
      </rPr>
      <t>1,3-Butadiene</t>
    </r>
    <r>
      <rPr>
        <vertAlign val="superscript"/>
        <sz val="11"/>
        <rFont val="Times New Roman"/>
        <family val="1"/>
      </rPr>
      <t>d</t>
    </r>
  </si>
  <si>
    <r>
      <rPr>
        <sz val="11"/>
        <rFont val="Times New Roman"/>
        <family val="1"/>
      </rPr>
      <t>&lt; 4.3 E-07</t>
    </r>
  </si>
  <si>
    <r>
      <rPr>
        <sz val="11"/>
        <rFont val="Times New Roman"/>
        <family val="1"/>
      </rPr>
      <t>D</t>
    </r>
  </si>
  <si>
    <r>
      <rPr>
        <sz val="11"/>
        <rFont val="Times New Roman"/>
        <family val="1"/>
      </rPr>
      <t>Acetaldehyde</t>
    </r>
  </si>
  <si>
    <r>
      <rPr>
        <sz val="11"/>
        <rFont val="Times New Roman"/>
        <family val="1"/>
      </rPr>
      <t>C</t>
    </r>
  </si>
  <si>
    <r>
      <rPr>
        <sz val="11"/>
        <rFont val="Times New Roman"/>
        <family val="1"/>
      </rPr>
      <t>Acrolein</t>
    </r>
  </si>
  <si>
    <r>
      <rPr>
        <sz val="11"/>
        <rFont val="Times New Roman"/>
        <family val="1"/>
      </rPr>
      <t>A</t>
    </r>
  </si>
  <si>
    <r>
      <rPr>
        <sz val="11"/>
        <rFont val="Times New Roman"/>
        <family val="1"/>
      </rPr>
      <t>Ethylbenzene</t>
    </r>
  </si>
  <si>
    <r>
      <rPr>
        <sz val="11"/>
        <rFont val="Times New Roman"/>
        <family val="1"/>
      </rPr>
      <t>Formaldehyde</t>
    </r>
    <r>
      <rPr>
        <vertAlign val="superscript"/>
        <sz val="11"/>
        <rFont val="Times New Roman"/>
        <family val="1"/>
      </rPr>
      <t>f</t>
    </r>
  </si>
  <si>
    <r>
      <rPr>
        <sz val="11"/>
        <rFont val="Times New Roman"/>
        <family val="1"/>
      </rPr>
      <t>Naphthalene</t>
    </r>
  </si>
  <si>
    <r>
      <rPr>
        <sz val="11"/>
        <rFont val="Times New Roman"/>
        <family val="1"/>
      </rPr>
      <t>PAH</t>
    </r>
  </si>
  <si>
    <r>
      <rPr>
        <sz val="11"/>
        <rFont val="Times New Roman"/>
        <family val="1"/>
      </rPr>
      <t>Propylene Oxide</t>
    </r>
    <r>
      <rPr>
        <vertAlign val="superscript"/>
        <sz val="11"/>
        <rFont val="Times New Roman"/>
        <family val="1"/>
      </rPr>
      <t>d</t>
    </r>
  </si>
  <si>
    <r>
      <rPr>
        <sz val="11"/>
        <rFont val="Times New Roman"/>
        <family val="1"/>
      </rPr>
      <t>&lt; 2.9 E-05</t>
    </r>
  </si>
  <si>
    <r>
      <rPr>
        <sz val="11"/>
        <rFont val="Times New Roman"/>
        <family val="1"/>
      </rPr>
      <t>Toluene</t>
    </r>
  </si>
  <si>
    <r>
      <rPr>
        <sz val="11"/>
        <rFont val="Times New Roman"/>
        <family val="1"/>
      </rPr>
      <t>Xylenes</t>
    </r>
  </si>
  <si>
    <r>
      <rPr>
        <sz val="8"/>
        <rFont val="Times New Roman"/>
        <family val="1"/>
      </rPr>
      <t xml:space="preserve">a </t>
    </r>
    <r>
      <rPr>
        <sz val="11"/>
        <rFont val="Times New Roman"/>
        <family val="1"/>
      </rPr>
      <t>SCC for natural gas-fired turbines include 2-01-002-01, 2-02-002-01, 2-02-002-03, 2-03-002-02, and 2-</t>
    </r>
  </si>
  <si>
    <r>
      <rPr>
        <sz val="11"/>
        <rFont val="Times New Roman"/>
        <family val="1"/>
      </rPr>
      <t xml:space="preserve">03-002-03. Hazardous Air Pollutants as defined in Section 112 (b) of the </t>
    </r>
    <r>
      <rPr>
        <i/>
        <sz val="11"/>
        <rFont val="Times New Roman"/>
        <family val="1"/>
      </rPr>
      <t>Clean Air Act</t>
    </r>
    <r>
      <rPr>
        <sz val="11"/>
        <rFont val="Times New Roman"/>
        <family val="1"/>
      </rPr>
      <t>.</t>
    </r>
  </si>
  <si>
    <r>
      <rPr>
        <sz val="8"/>
        <rFont val="Times New Roman"/>
        <family val="1"/>
      </rPr>
      <t xml:space="preserve">b </t>
    </r>
    <r>
      <rPr>
        <sz val="11"/>
        <rFont val="Times New Roman"/>
        <family val="1"/>
      </rPr>
      <t>Factors are derived from units operating at high loads (</t>
    </r>
    <r>
      <rPr>
        <sz val="6"/>
        <rFont val="Arial"/>
        <family val="2"/>
      </rPr>
      <t>&gt;</t>
    </r>
    <r>
      <rPr>
        <sz val="11"/>
        <rFont val="Times New Roman"/>
        <family val="1"/>
      </rPr>
      <t xml:space="preserve">80 percent load) only. For information on units </t>
    </r>
  </si>
  <si>
    <r>
      <rPr>
        <sz val="11"/>
        <rFont val="Times New Roman"/>
        <family val="1"/>
      </rPr>
      <t xml:space="preserve">operating at other loads, consult the background report for this chapter (Reference 16), available at </t>
    </r>
  </si>
  <si>
    <r>
      <rPr>
        <sz val="11"/>
        <rFont val="Times New Roman"/>
        <family val="1"/>
      </rPr>
      <t>“</t>
    </r>
    <r>
      <rPr>
        <sz val="11"/>
        <color rgb="FF0000FF"/>
        <rFont val="Times New Roman"/>
        <family val="1"/>
      </rPr>
      <t>www.epa.gov/ttn/chief</t>
    </r>
    <r>
      <rPr>
        <sz val="11"/>
        <rFont val="Times New Roman"/>
        <family val="1"/>
      </rPr>
      <t>”.</t>
    </r>
  </si>
  <si>
    <r>
      <rPr>
        <sz val="8"/>
        <rFont val="Times New Roman"/>
        <family val="1"/>
      </rPr>
      <t xml:space="preserve">c </t>
    </r>
    <r>
      <rPr>
        <sz val="11"/>
        <rFont val="Times New Roman"/>
        <family val="1"/>
      </rPr>
      <t>Emission factors based on an average natural gas heating value (HHV) of 1020 Btu/scf at 60</t>
    </r>
    <r>
      <rPr>
        <vertAlign val="superscript"/>
        <sz val="11"/>
        <rFont val="Times New Roman"/>
        <family val="1"/>
      </rPr>
      <t>o</t>
    </r>
    <r>
      <rPr>
        <sz val="11"/>
        <rFont val="Times New Roman"/>
        <family val="1"/>
      </rPr>
      <t xml:space="preserve">F. To </t>
    </r>
  </si>
  <si>
    <r>
      <rPr>
        <sz val="11"/>
        <rFont val="Times New Roman"/>
        <family val="1"/>
      </rPr>
      <t>convert from (lb/MMBtu) to (lb/10</t>
    </r>
    <r>
      <rPr>
        <vertAlign val="superscript"/>
        <sz val="11"/>
        <rFont val="Times New Roman"/>
        <family val="1"/>
      </rPr>
      <t>6</t>
    </r>
    <r>
      <rPr>
        <sz val="11"/>
        <rFont val="Times New Roman"/>
        <family val="1"/>
      </rPr>
      <t xml:space="preserve"> scf), multiply by 1020. These emission factors can be converted to </t>
    </r>
  </si>
  <si>
    <r>
      <rPr>
        <sz val="11"/>
        <rFont val="Times New Roman"/>
        <family val="1"/>
      </rPr>
      <t xml:space="preserve">other natural gas heating values by multiplying the given emission factor by the ratio of the specified </t>
    </r>
  </si>
  <si>
    <r>
      <rPr>
        <sz val="11"/>
        <rFont val="Times New Roman"/>
        <family val="1"/>
      </rPr>
      <t>heating value to this heating value.</t>
    </r>
  </si>
  <si>
    <r>
      <rPr>
        <sz val="8"/>
        <rFont val="Times New Roman"/>
        <family val="1"/>
      </rPr>
      <t xml:space="preserve">d </t>
    </r>
    <r>
      <rPr>
        <sz val="11"/>
        <rFont val="Times New Roman"/>
        <family val="1"/>
      </rPr>
      <t>Compound was not detected. The presented emission value is based on one-half of the detection limit.</t>
    </r>
  </si>
  <si>
    <r>
      <rPr>
        <sz val="8"/>
        <rFont val="Times New Roman"/>
        <family val="1"/>
      </rPr>
      <t xml:space="preserve">e </t>
    </r>
    <r>
      <rPr>
        <sz val="11"/>
        <rFont val="Times New Roman"/>
        <family val="1"/>
      </rPr>
      <t>Benzene with SCONOX catalyst is 9.1 E-07, rating of D.</t>
    </r>
  </si>
  <si>
    <r>
      <rPr>
        <sz val="8"/>
        <rFont val="Times New Roman"/>
        <family val="1"/>
      </rPr>
      <t xml:space="preserve">f </t>
    </r>
    <r>
      <rPr>
        <sz val="11"/>
        <rFont val="Times New Roman"/>
        <family val="1"/>
      </rPr>
      <t>Formaldehyde with SCONOX catalyst is 2.0 E-05, rating of D.</t>
    </r>
  </si>
  <si>
    <r>
      <rPr>
        <sz val="11"/>
        <rFont val="Times New Roman"/>
        <family val="1"/>
      </rPr>
      <t>Table 3.2-2. UNCONTROLLED EMISSION FACTORS FOR 4-STROKE LEAN-BURN ENGINES</t>
    </r>
  </si>
  <si>
    <r>
      <rPr>
        <sz val="11"/>
        <rFont val="Times New Roman"/>
        <family val="1"/>
      </rPr>
      <t>(Continued)</t>
    </r>
  </si>
  <si>
    <r>
      <rPr>
        <sz val="11"/>
        <rFont val="Times New Roman"/>
        <family val="1"/>
      </rPr>
      <t xml:space="preserve">Emission Factor
</t>
    </r>
    <r>
      <rPr>
        <sz val="11"/>
        <rFont val="Times New Roman"/>
        <family val="1"/>
      </rPr>
      <t>(lb/MMBtu)</t>
    </r>
    <r>
      <rPr>
        <vertAlign val="superscript"/>
        <sz val="11"/>
        <rFont val="Times New Roman"/>
        <family val="1"/>
      </rPr>
      <t>b</t>
    </r>
    <r>
      <rPr>
        <sz val="9"/>
        <rFont val="Times New Roman"/>
        <family val="1"/>
      </rPr>
      <t xml:space="preserve">
</t>
    </r>
    <r>
      <rPr>
        <sz val="11"/>
        <rFont val="Times New Roman"/>
        <family val="1"/>
      </rPr>
      <t>(fuel input)</t>
    </r>
  </si>
  <si>
    <r>
      <rPr>
        <sz val="11"/>
        <rFont val="Times New Roman"/>
        <family val="1"/>
      </rPr>
      <t xml:space="preserve">Emission Factor
</t>
    </r>
    <r>
      <rPr>
        <sz val="11"/>
        <rFont val="Times New Roman"/>
        <family val="1"/>
      </rPr>
      <t>Rating</t>
    </r>
  </si>
  <si>
    <r>
      <rPr>
        <sz val="11"/>
        <rFont val="Times New Roman"/>
        <family val="1"/>
      </rPr>
      <t xml:space="preserve">C
</t>
    </r>
    <r>
      <rPr>
        <sz val="11"/>
        <rFont val="Times New Roman"/>
        <family val="1"/>
      </rPr>
      <t xml:space="preserve">A
</t>
    </r>
    <r>
      <rPr>
        <sz val="11"/>
        <rFont val="Times New Roman"/>
        <family val="1"/>
      </rPr>
      <t xml:space="preserve">A
</t>
    </r>
    <r>
      <rPr>
        <sz val="11"/>
        <rFont val="Times New Roman"/>
        <family val="1"/>
      </rPr>
      <t xml:space="preserve">A
</t>
    </r>
    <r>
      <rPr>
        <sz val="11"/>
        <rFont val="Times New Roman"/>
        <family val="1"/>
      </rPr>
      <t xml:space="preserve">D
</t>
    </r>
    <r>
      <rPr>
        <sz val="11"/>
        <rFont val="Times New Roman"/>
        <family val="1"/>
      </rPr>
      <t xml:space="preserve">D
</t>
    </r>
    <r>
      <rPr>
        <sz val="11"/>
        <rFont val="Times New Roman"/>
        <family val="1"/>
      </rPr>
      <t>D</t>
    </r>
  </si>
  <si>
    <r>
      <rPr>
        <sz val="11"/>
        <rFont val="Times New Roman"/>
        <family val="1"/>
      </rPr>
      <t>Biphenyl</t>
    </r>
    <r>
      <rPr>
        <vertAlign val="superscript"/>
        <sz val="11"/>
        <rFont val="Times New Roman"/>
        <family val="1"/>
      </rPr>
      <t>k</t>
    </r>
  </si>
  <si>
    <r>
      <rPr>
        <sz val="11"/>
        <rFont val="Times New Roman"/>
        <family val="1"/>
      </rPr>
      <t>Butane</t>
    </r>
  </si>
  <si>
    <r>
      <rPr>
        <sz val="11"/>
        <rFont val="Times New Roman"/>
        <family val="1"/>
      </rPr>
      <t xml:space="preserve">1.01 E-04
</t>
    </r>
    <r>
      <rPr>
        <sz val="11"/>
        <rFont val="Times New Roman"/>
        <family val="1"/>
      </rPr>
      <t xml:space="preserve">&lt;3.67 E-05
</t>
    </r>
    <r>
      <rPr>
        <sz val="11"/>
        <rFont val="Times New Roman"/>
        <family val="1"/>
      </rPr>
      <t>&lt;3.04 E-05</t>
    </r>
  </si>
  <si>
    <r>
      <rPr>
        <sz val="11"/>
        <rFont val="Times New Roman"/>
        <family val="1"/>
      </rPr>
      <t xml:space="preserve">C
</t>
    </r>
    <r>
      <rPr>
        <sz val="11"/>
        <rFont val="Times New Roman"/>
        <family val="1"/>
      </rPr>
      <t xml:space="preserve">E
</t>
    </r>
    <r>
      <rPr>
        <sz val="11"/>
        <rFont val="Times New Roman"/>
        <family val="1"/>
      </rPr>
      <t>E</t>
    </r>
  </si>
  <si>
    <r>
      <rPr>
        <sz val="11"/>
        <rFont val="Times New Roman"/>
        <family val="1"/>
      </rPr>
      <t>Acenaphthylene</t>
    </r>
    <r>
      <rPr>
        <sz val="9"/>
        <rFont val="Times New Roman"/>
        <family val="1"/>
      </rPr>
      <t xml:space="preserve">
</t>
    </r>
    <r>
      <rPr>
        <sz val="11"/>
        <rFont val="Times New Roman"/>
        <family val="1"/>
      </rPr>
      <t>Acetaldehyde</t>
    </r>
    <r>
      <rPr>
        <sz val="9"/>
        <rFont val="Times New Roman"/>
        <family val="1"/>
      </rPr>
      <t xml:space="preserve">
</t>
    </r>
    <r>
      <rPr>
        <sz val="11"/>
        <rFont val="Times New Roman"/>
        <family val="1"/>
      </rPr>
      <t>Acrolein</t>
    </r>
    <r>
      <rPr>
        <sz val="9"/>
        <rFont val="Times New Roman"/>
        <family val="1"/>
      </rPr>
      <t xml:space="preserve">
</t>
    </r>
    <r>
      <rPr>
        <sz val="11"/>
        <color rgb="FFFF0000"/>
        <rFont val="Times New Roman"/>
        <family val="1"/>
      </rPr>
      <t>Benzene</t>
    </r>
    <r>
      <rPr>
        <sz val="9"/>
        <rFont val="Times New Roman"/>
        <family val="1"/>
      </rPr>
      <t xml:space="preserve">
</t>
    </r>
    <r>
      <rPr>
        <sz val="11"/>
        <rFont val="Times New Roman"/>
        <family val="1"/>
      </rPr>
      <t>Benzo(b)fluoranthene</t>
    </r>
    <r>
      <rPr>
        <sz val="9"/>
        <rFont val="Times New Roman"/>
        <family val="1"/>
      </rPr>
      <t xml:space="preserve">
</t>
    </r>
    <r>
      <rPr>
        <sz val="11"/>
        <rFont val="Times New Roman"/>
        <family val="1"/>
      </rPr>
      <t>Benzo(e)pyrene</t>
    </r>
    <r>
      <rPr>
        <sz val="9"/>
        <rFont val="Times New Roman"/>
        <family val="1"/>
      </rPr>
      <t xml:space="preserve">
</t>
    </r>
    <r>
      <rPr>
        <sz val="11"/>
        <rFont val="Times New Roman"/>
        <family val="1"/>
      </rPr>
      <t>Benzo(g,h,i)perylene</t>
    </r>
  </si>
  <si>
    <r>
      <t xml:space="preserve">5.53 E-06
8.36 E-03
5.14 E-03
</t>
    </r>
    <r>
      <rPr>
        <sz val="11"/>
        <color rgb="FFFF0000"/>
        <rFont val="Times New Roman"/>
        <family val="1"/>
      </rPr>
      <t>4.40 E-04</t>
    </r>
    <r>
      <rPr>
        <sz val="11"/>
        <rFont val="Times New Roman"/>
        <family val="1"/>
      </rPr>
      <t xml:space="preserve">
1.66 E-07
4.15 E-07
4.14 E-07</t>
    </r>
  </si>
  <si>
    <r>
      <rPr>
        <sz val="11"/>
        <rFont val="Times New Roman"/>
        <family val="1"/>
      </rPr>
      <t>Butyr/Isobutyraldehyde</t>
    </r>
    <r>
      <rPr>
        <sz val="9"/>
        <rFont val="Times New Roman"/>
        <family val="1"/>
      </rPr>
      <t xml:space="preserve">
</t>
    </r>
    <r>
      <rPr>
        <sz val="11"/>
        <rFont val="Times New Roman"/>
        <family val="1"/>
      </rPr>
      <t>Carbon Tetrachloride</t>
    </r>
    <r>
      <rPr>
        <sz val="9"/>
        <rFont val="Times New Roman"/>
        <family val="1"/>
      </rPr>
      <t xml:space="preserve">
</t>
    </r>
    <r>
      <rPr>
        <sz val="11"/>
        <rFont val="Times New Roman"/>
        <family val="1"/>
      </rPr>
      <t>Chlorobenzene</t>
    </r>
  </si>
  <si>
    <r>
      <rPr>
        <sz val="11"/>
        <rFont val="Times New Roman"/>
        <family val="1"/>
      </rPr>
      <t>Table 3.2-3. UNCONTROLLED EMISSION FACTORS FOR 4-STROKE RICH-BURN</t>
    </r>
  </si>
  <si>
    <r>
      <rPr>
        <sz val="11"/>
        <rFont val="Times New Roman"/>
        <family val="1"/>
      </rPr>
      <t>ENGINES</t>
    </r>
    <r>
      <rPr>
        <vertAlign val="superscript"/>
        <sz val="11"/>
        <rFont val="Times New Roman"/>
        <family val="1"/>
      </rPr>
      <t>a</t>
    </r>
  </si>
  <si>
    <r>
      <rPr>
        <sz val="11"/>
        <rFont val="Times New Roman"/>
        <family val="1"/>
      </rPr>
      <t>(SCC 2-02-002-53)</t>
    </r>
  </si>
  <si>
    <r>
      <rPr>
        <sz val="11"/>
        <rFont val="Times New Roman"/>
        <family val="1"/>
      </rPr>
      <t>Criteria Pollutants and Greenhouse Gases</t>
    </r>
  </si>
  <si>
    <r>
      <rPr>
        <sz val="11"/>
        <rFont val="Times New Roman"/>
        <family val="1"/>
      </rPr>
      <t>NO</t>
    </r>
    <r>
      <rPr>
        <vertAlign val="subscript"/>
        <sz val="11"/>
        <rFont val="Times New Roman"/>
        <family val="1"/>
      </rPr>
      <t>x</t>
    </r>
    <r>
      <rPr>
        <vertAlign val="superscript"/>
        <sz val="11"/>
        <rFont val="Times New Roman"/>
        <family val="1"/>
      </rPr>
      <t>c</t>
    </r>
    <r>
      <rPr>
        <sz val="11"/>
        <rFont val="Times New Roman"/>
        <family val="1"/>
      </rPr>
      <t xml:space="preserve"> 90 - 105% Load
</t>
    </r>
    <r>
      <rPr>
        <sz val="11"/>
        <rFont val="Times New Roman"/>
        <family val="1"/>
      </rPr>
      <t>NO</t>
    </r>
    <r>
      <rPr>
        <vertAlign val="subscript"/>
        <sz val="11"/>
        <rFont val="Times New Roman"/>
        <family val="1"/>
      </rPr>
      <t>x</t>
    </r>
    <r>
      <rPr>
        <vertAlign val="superscript"/>
        <sz val="11"/>
        <rFont val="Times New Roman"/>
        <family val="1"/>
      </rPr>
      <t>c</t>
    </r>
    <r>
      <rPr>
        <sz val="11"/>
        <rFont val="Times New Roman"/>
        <family val="1"/>
      </rPr>
      <t xml:space="preserve"> &lt;90% Load
</t>
    </r>
    <r>
      <rPr>
        <sz val="11"/>
        <rFont val="Times New Roman"/>
        <family val="1"/>
      </rPr>
      <t>CO</t>
    </r>
    <r>
      <rPr>
        <vertAlign val="superscript"/>
        <sz val="11"/>
        <rFont val="Times New Roman"/>
        <family val="1"/>
      </rPr>
      <t>c</t>
    </r>
    <r>
      <rPr>
        <sz val="11"/>
        <rFont val="Times New Roman"/>
        <family val="1"/>
      </rPr>
      <t xml:space="preserve"> 90 - 105% Load
</t>
    </r>
    <r>
      <rPr>
        <sz val="11"/>
        <rFont val="Times New Roman"/>
        <family val="1"/>
      </rPr>
      <t>CO</t>
    </r>
    <r>
      <rPr>
        <vertAlign val="superscript"/>
        <sz val="11"/>
        <rFont val="Times New Roman"/>
        <family val="1"/>
      </rPr>
      <t>c</t>
    </r>
    <r>
      <rPr>
        <sz val="11"/>
        <rFont val="Times New Roman"/>
        <family val="1"/>
      </rPr>
      <t xml:space="preserve"> &lt;90% Load
</t>
    </r>
    <r>
      <rPr>
        <sz val="9"/>
        <rFont val="Times New Roman"/>
        <family val="1"/>
      </rPr>
      <t xml:space="preserve">d
</t>
    </r>
    <r>
      <rPr>
        <sz val="11"/>
        <rFont val="Times New Roman"/>
        <family val="1"/>
      </rPr>
      <t>CO</t>
    </r>
    <r>
      <rPr>
        <vertAlign val="subscript"/>
        <sz val="11"/>
        <rFont val="Times New Roman"/>
        <family val="1"/>
      </rPr>
      <t>2</t>
    </r>
    <r>
      <rPr>
        <sz val="9"/>
        <rFont val="Times New Roman"/>
        <family val="1"/>
      </rPr>
      <t xml:space="preserve">
</t>
    </r>
    <r>
      <rPr>
        <sz val="9"/>
        <rFont val="Times New Roman"/>
        <family val="1"/>
      </rPr>
      <t xml:space="preserve">e
</t>
    </r>
    <r>
      <rPr>
        <sz val="11"/>
        <rFont val="Times New Roman"/>
        <family val="1"/>
      </rPr>
      <t>SO</t>
    </r>
    <r>
      <rPr>
        <vertAlign val="subscript"/>
        <sz val="11"/>
        <rFont val="Times New Roman"/>
        <family val="1"/>
      </rPr>
      <t>2</t>
    </r>
    <r>
      <rPr>
        <sz val="9"/>
        <rFont val="Times New Roman"/>
        <family val="1"/>
      </rPr>
      <t xml:space="preserve">
</t>
    </r>
    <r>
      <rPr>
        <sz val="11"/>
        <rFont val="Times New Roman"/>
        <family val="1"/>
      </rPr>
      <t>TOC</t>
    </r>
    <r>
      <rPr>
        <vertAlign val="superscript"/>
        <sz val="11"/>
        <rFont val="Times New Roman"/>
        <family val="1"/>
      </rPr>
      <t>f</t>
    </r>
    <r>
      <rPr>
        <sz val="9"/>
        <rFont val="Times New Roman"/>
        <family val="1"/>
      </rPr>
      <t xml:space="preserve">
</t>
    </r>
    <r>
      <rPr>
        <sz val="11"/>
        <rFont val="Times New Roman"/>
        <family val="1"/>
      </rPr>
      <t>Methane</t>
    </r>
    <r>
      <rPr>
        <vertAlign val="superscript"/>
        <sz val="11"/>
        <rFont val="Times New Roman"/>
        <family val="1"/>
      </rPr>
      <t>g</t>
    </r>
    <r>
      <rPr>
        <sz val="9"/>
        <rFont val="Times New Roman"/>
        <family val="1"/>
      </rPr>
      <t xml:space="preserve">
</t>
    </r>
    <r>
      <rPr>
        <sz val="11"/>
        <rFont val="Times New Roman"/>
        <family val="1"/>
      </rPr>
      <t>VOC</t>
    </r>
    <r>
      <rPr>
        <vertAlign val="superscript"/>
        <sz val="11"/>
        <rFont val="Times New Roman"/>
        <family val="1"/>
      </rPr>
      <t>h</t>
    </r>
    <r>
      <rPr>
        <sz val="9"/>
        <rFont val="Times New Roman"/>
        <family val="1"/>
      </rPr>
      <t xml:space="preserve">
</t>
    </r>
    <r>
      <rPr>
        <sz val="11"/>
        <rFont val="Times New Roman"/>
        <family val="1"/>
      </rPr>
      <t>PM10 (filterable)</t>
    </r>
    <r>
      <rPr>
        <vertAlign val="superscript"/>
        <sz val="11"/>
        <rFont val="Times New Roman"/>
        <family val="1"/>
      </rPr>
      <t>i,j</t>
    </r>
    <r>
      <rPr>
        <sz val="9"/>
        <rFont val="Times New Roman"/>
        <family val="1"/>
      </rPr>
      <t xml:space="preserve">
</t>
    </r>
    <r>
      <rPr>
        <sz val="11"/>
        <rFont val="Times New Roman"/>
        <family val="1"/>
      </rPr>
      <t>PM2.5 (filterable)</t>
    </r>
    <r>
      <rPr>
        <vertAlign val="superscript"/>
        <sz val="11"/>
        <rFont val="Times New Roman"/>
        <family val="1"/>
      </rPr>
      <t>j</t>
    </r>
    <r>
      <rPr>
        <sz val="9"/>
        <rFont val="Times New Roman"/>
        <family val="1"/>
      </rPr>
      <t xml:space="preserve">
</t>
    </r>
    <r>
      <rPr>
        <sz val="9"/>
        <rFont val="Times New Roman"/>
        <family val="1"/>
      </rPr>
      <t xml:space="preserve">k
</t>
    </r>
    <r>
      <rPr>
        <sz val="11"/>
        <rFont val="Times New Roman"/>
        <family val="1"/>
      </rPr>
      <t>PM Condensable</t>
    </r>
  </si>
  <si>
    <r>
      <rPr>
        <sz val="11"/>
        <rFont val="Times New Roman"/>
        <family val="1"/>
      </rPr>
      <t xml:space="preserve">2.21 E+00
</t>
    </r>
    <r>
      <rPr>
        <sz val="11"/>
        <rFont val="Times New Roman"/>
        <family val="1"/>
      </rPr>
      <t xml:space="preserve">2.27 E+00
</t>
    </r>
    <r>
      <rPr>
        <sz val="11"/>
        <rFont val="Times New Roman"/>
        <family val="1"/>
      </rPr>
      <t xml:space="preserve">3.72 E+00
</t>
    </r>
    <r>
      <rPr>
        <sz val="11"/>
        <rFont val="Times New Roman"/>
        <family val="1"/>
      </rPr>
      <t xml:space="preserve">3.51 E+00
</t>
    </r>
    <r>
      <rPr>
        <sz val="11"/>
        <rFont val="Times New Roman"/>
        <family val="1"/>
      </rPr>
      <t xml:space="preserve">1.10 E+02
</t>
    </r>
    <r>
      <rPr>
        <sz val="11"/>
        <rFont val="Times New Roman"/>
        <family val="1"/>
      </rPr>
      <t xml:space="preserve">5.88 E-04
</t>
    </r>
    <r>
      <rPr>
        <sz val="11"/>
        <rFont val="Times New Roman"/>
        <family val="1"/>
      </rPr>
      <t xml:space="preserve">3.58 E-01
</t>
    </r>
    <r>
      <rPr>
        <sz val="11"/>
        <rFont val="Times New Roman"/>
        <family val="1"/>
      </rPr>
      <t xml:space="preserve">2.30 E-01
</t>
    </r>
    <r>
      <rPr>
        <sz val="11"/>
        <rFont val="Times New Roman"/>
        <family val="1"/>
      </rPr>
      <t xml:space="preserve">2.96 E-02
</t>
    </r>
    <r>
      <rPr>
        <sz val="11"/>
        <rFont val="Times New Roman"/>
        <family val="1"/>
      </rPr>
      <t xml:space="preserve">9.50 E-03
</t>
    </r>
    <r>
      <rPr>
        <sz val="11"/>
        <rFont val="Times New Roman"/>
        <family val="1"/>
      </rPr>
      <t xml:space="preserve">9.50 E-03
</t>
    </r>
    <r>
      <rPr>
        <sz val="11"/>
        <rFont val="Times New Roman"/>
        <family val="1"/>
      </rPr>
      <t>9.91 E-03</t>
    </r>
  </si>
  <si>
    <r>
      <rPr>
        <sz val="11"/>
        <rFont val="Times New Roman"/>
        <family val="1"/>
      </rPr>
      <t xml:space="preserve">A
</t>
    </r>
    <r>
      <rPr>
        <sz val="11"/>
        <rFont val="Times New Roman"/>
        <family val="1"/>
      </rPr>
      <t xml:space="preserve">C
</t>
    </r>
    <r>
      <rPr>
        <sz val="11"/>
        <rFont val="Times New Roman"/>
        <family val="1"/>
      </rPr>
      <t xml:space="preserve">A
</t>
    </r>
    <r>
      <rPr>
        <sz val="11"/>
        <rFont val="Times New Roman"/>
        <family val="1"/>
      </rPr>
      <t xml:space="preserve">C
</t>
    </r>
    <r>
      <rPr>
        <sz val="11"/>
        <rFont val="Times New Roman"/>
        <family val="1"/>
      </rPr>
      <t xml:space="preserve">A
</t>
    </r>
    <r>
      <rPr>
        <sz val="11"/>
        <rFont val="Times New Roman"/>
        <family val="1"/>
      </rPr>
      <t xml:space="preserve">A
</t>
    </r>
    <r>
      <rPr>
        <sz val="11"/>
        <rFont val="Times New Roman"/>
        <family val="1"/>
      </rPr>
      <t xml:space="preserve">C
</t>
    </r>
    <r>
      <rPr>
        <sz val="11"/>
        <rFont val="Times New Roman"/>
        <family val="1"/>
      </rPr>
      <t xml:space="preserve">C
</t>
    </r>
    <r>
      <rPr>
        <sz val="11"/>
        <rFont val="Times New Roman"/>
        <family val="1"/>
      </rPr>
      <t xml:space="preserve">C
</t>
    </r>
    <r>
      <rPr>
        <sz val="11"/>
        <rFont val="Times New Roman"/>
        <family val="1"/>
      </rPr>
      <t xml:space="preserve">E
</t>
    </r>
    <r>
      <rPr>
        <sz val="11"/>
        <rFont val="Times New Roman"/>
        <family val="1"/>
      </rPr>
      <t xml:space="preserve">E
</t>
    </r>
    <r>
      <rPr>
        <sz val="11"/>
        <rFont val="Times New Roman"/>
        <family val="1"/>
      </rPr>
      <t>E</t>
    </r>
  </si>
  <si>
    <r>
      <rPr>
        <sz val="11"/>
        <rFont val="Times New Roman"/>
        <family val="1"/>
      </rPr>
      <t>Trace Organic Compounds</t>
    </r>
  </si>
  <si>
    <r>
      <rPr>
        <sz val="11"/>
        <rFont val="Times New Roman"/>
        <family val="1"/>
      </rPr>
      <t xml:space="preserve">C
</t>
    </r>
    <r>
      <rPr>
        <sz val="11"/>
        <rFont val="Times New Roman"/>
        <family val="1"/>
      </rPr>
      <t xml:space="preserve">E
</t>
    </r>
    <r>
      <rPr>
        <sz val="11"/>
        <rFont val="Times New Roman"/>
        <family val="1"/>
      </rPr>
      <t xml:space="preserve">E
</t>
    </r>
    <r>
      <rPr>
        <sz val="11"/>
        <rFont val="Times New Roman"/>
        <family val="1"/>
      </rPr>
      <t xml:space="preserve">E
</t>
    </r>
    <r>
      <rPr>
        <sz val="11"/>
        <rFont val="Times New Roman"/>
        <family val="1"/>
      </rPr>
      <t xml:space="preserve">E
</t>
    </r>
    <r>
      <rPr>
        <sz val="11"/>
        <rFont val="Times New Roman"/>
        <family val="1"/>
      </rPr>
      <t xml:space="preserve">D
</t>
    </r>
    <r>
      <rPr>
        <sz val="11"/>
        <rFont val="Times New Roman"/>
        <family val="1"/>
      </rPr>
      <t xml:space="preserve">E
</t>
    </r>
    <r>
      <rPr>
        <sz val="11"/>
        <rFont val="Times New Roman"/>
        <family val="1"/>
      </rPr>
      <t xml:space="preserve">C
</t>
    </r>
    <r>
      <rPr>
        <sz val="11"/>
        <rFont val="Times New Roman"/>
        <family val="1"/>
      </rPr>
      <t xml:space="preserve">C
</t>
    </r>
    <r>
      <rPr>
        <sz val="11"/>
        <rFont val="Times New Roman"/>
        <family val="1"/>
      </rPr>
      <t xml:space="preserve">B
</t>
    </r>
    <r>
      <rPr>
        <sz val="11"/>
        <rFont val="Times New Roman"/>
        <family val="1"/>
      </rPr>
      <t xml:space="preserve">D
</t>
    </r>
    <r>
      <rPr>
        <sz val="11"/>
        <rFont val="Times New Roman"/>
        <family val="1"/>
      </rPr>
      <t>E</t>
    </r>
  </si>
  <si>
    <r>
      <rPr>
        <sz val="11"/>
        <rFont val="Times New Roman"/>
        <family val="1"/>
      </rPr>
      <t>1,1,2,2-Tetrachloroethane</t>
    </r>
    <r>
      <rPr>
        <sz val="9"/>
        <rFont val="Times New Roman"/>
        <family val="1"/>
      </rPr>
      <t xml:space="preserve">
</t>
    </r>
    <r>
      <rPr>
        <sz val="11"/>
        <rFont val="Times New Roman"/>
        <family val="1"/>
      </rPr>
      <t>1,1,2-Trichloroethane 
1,1-Dichloroethane 
1,2-Dichloroethane 
1,2-Dichloropropane</t>
    </r>
    <r>
      <rPr>
        <sz val="9"/>
        <rFont val="Times New Roman"/>
        <family val="1"/>
      </rPr>
      <t xml:space="preserve">
</t>
    </r>
    <r>
      <rPr>
        <sz val="11"/>
        <rFont val="Times New Roman"/>
        <family val="1"/>
      </rPr>
      <t>1,3-Butadiene</t>
    </r>
    <r>
      <rPr>
        <sz val="9"/>
        <rFont val="Times New Roman"/>
        <family val="1"/>
      </rPr>
      <t xml:space="preserve">
</t>
    </r>
    <r>
      <rPr>
        <sz val="11"/>
        <rFont val="Times New Roman"/>
        <family val="1"/>
      </rPr>
      <t>1,3-Dichloropropene</t>
    </r>
    <r>
      <rPr>
        <sz val="9"/>
        <rFont val="Times New Roman"/>
        <family val="1"/>
      </rPr>
      <t xml:space="preserve">
</t>
    </r>
    <r>
      <rPr>
        <sz val="11"/>
        <rFont val="Times New Roman"/>
        <family val="1"/>
      </rPr>
      <t>Acetaldehyde</t>
    </r>
    <r>
      <rPr>
        <sz val="9"/>
        <rFont val="Times New Roman"/>
        <family val="1"/>
      </rPr>
      <t xml:space="preserve">
</t>
    </r>
    <r>
      <rPr>
        <sz val="11"/>
        <rFont val="Times New Roman"/>
        <family val="1"/>
      </rPr>
      <t>Acrolein</t>
    </r>
    <r>
      <rPr>
        <sz val="9"/>
        <rFont val="Times New Roman"/>
        <family val="1"/>
      </rPr>
      <t xml:space="preserve">
</t>
    </r>
    <r>
      <rPr>
        <sz val="11"/>
        <color rgb="FFFF0000"/>
        <rFont val="Times New Roman"/>
        <family val="1"/>
      </rPr>
      <t>Benzene</t>
    </r>
    <r>
      <rPr>
        <sz val="11"/>
        <rFont val="Times New Roman"/>
        <family val="1"/>
      </rPr>
      <t xml:space="preserve">
Butyr/isobutyraldehyde</t>
    </r>
    <r>
      <rPr>
        <sz val="9"/>
        <rFont val="Times New Roman"/>
        <family val="1"/>
      </rPr>
      <t xml:space="preserve">
</t>
    </r>
    <r>
      <rPr>
        <sz val="11"/>
        <rFont val="Times New Roman"/>
        <family val="1"/>
      </rPr>
      <t>Carbon Tetrachloride</t>
    </r>
  </si>
  <si>
    <r>
      <rPr>
        <sz val="11"/>
        <rFont val="Times New Roman"/>
        <family val="1"/>
      </rPr>
      <t xml:space="preserve">2.53 E-05
&lt;1.53 E-05
&lt;1.13 E-05
&lt;1.13 E-05
&lt;1.30 E-05
6.63 E-04
&lt;1.27 E-05
2.79 E-03
2.63 E-03
</t>
    </r>
    <r>
      <rPr>
        <sz val="11"/>
        <color rgb="FFFF0000"/>
        <rFont val="Times New Roman"/>
        <family val="1"/>
      </rPr>
      <t>1.58 E-03</t>
    </r>
    <r>
      <rPr>
        <sz val="11"/>
        <rFont val="Times New Roman"/>
        <family val="1"/>
      </rPr>
      <t xml:space="preserve">
4.86 E-05
&lt;1.77 E-05</t>
    </r>
  </si>
  <si>
    <r>
      <rPr>
        <sz val="11"/>
        <rFont val="Times New Roman"/>
        <family val="1"/>
      </rPr>
      <t>Table 3.3-2. SPECIATED ORGANIC COMPOUND EMISSION</t>
    </r>
  </si>
  <si>
    <r>
      <rPr>
        <sz val="11"/>
        <rFont val="Times New Roman"/>
        <family val="1"/>
      </rPr>
      <t>FACTORS FOR UNCONTROLLED DIESEL ENGINES</t>
    </r>
    <r>
      <rPr>
        <vertAlign val="superscript"/>
        <sz val="11"/>
        <rFont val="Times New Roman"/>
        <family val="1"/>
      </rPr>
      <t>a</t>
    </r>
  </si>
  <si>
    <r>
      <rPr>
        <sz val="11"/>
        <rFont val="Times New Roman"/>
        <family val="1"/>
      </rPr>
      <t>EMISSION FACTOR RATING: E</t>
    </r>
  </si>
  <si>
    <r>
      <rPr>
        <sz val="11"/>
        <rFont val="Times New Roman"/>
        <family val="1"/>
      </rPr>
      <t xml:space="preserve">Emission Factor
</t>
    </r>
    <r>
      <rPr>
        <sz val="11"/>
        <rFont val="Times New Roman"/>
        <family val="1"/>
      </rPr>
      <t xml:space="preserve">(Fuel Input)
</t>
    </r>
    <r>
      <rPr>
        <sz val="11"/>
        <rFont val="Times New Roman"/>
        <family val="1"/>
      </rPr>
      <t>(lb/MMBtu)</t>
    </r>
  </si>
  <si>
    <r>
      <rPr>
        <sz val="11"/>
        <rFont val="Times New Roman"/>
        <family val="1"/>
      </rPr>
      <t>Toluene</t>
    </r>
    <r>
      <rPr>
        <vertAlign val="superscript"/>
        <sz val="11"/>
        <rFont val="Times New Roman"/>
        <family val="1"/>
      </rPr>
      <t>b</t>
    </r>
  </si>
  <si>
    <r>
      <rPr>
        <sz val="11"/>
        <rFont val="Times New Roman"/>
        <family val="1"/>
      </rPr>
      <t>Xylenes</t>
    </r>
    <r>
      <rPr>
        <vertAlign val="superscript"/>
        <sz val="11"/>
        <rFont val="Times New Roman"/>
        <family val="1"/>
      </rPr>
      <t>b</t>
    </r>
  </si>
  <si>
    <r>
      <rPr>
        <sz val="11"/>
        <rFont val="Times New Roman"/>
        <family val="1"/>
      </rPr>
      <t>Propylene</t>
    </r>
  </si>
  <si>
    <r>
      <rPr>
        <sz val="11"/>
        <rFont val="Times New Roman"/>
        <family val="1"/>
      </rPr>
      <t>1,3-Butadiene</t>
    </r>
    <r>
      <rPr>
        <vertAlign val="superscript"/>
        <sz val="11"/>
        <rFont val="Times New Roman"/>
        <family val="1"/>
      </rPr>
      <t>b,c</t>
    </r>
  </si>
  <si>
    <r>
      <rPr>
        <sz val="11"/>
        <rFont val="Times New Roman"/>
        <family val="1"/>
      </rPr>
      <t>&lt;3.91 E-05</t>
    </r>
  </si>
  <si>
    <r>
      <rPr>
        <sz val="9"/>
        <rFont val="Times New Roman"/>
        <family val="1"/>
      </rPr>
      <t xml:space="preserve">a </t>
    </r>
    <r>
      <rPr>
        <sz val="11"/>
        <rFont val="Times New Roman"/>
        <family val="1"/>
      </rPr>
      <t xml:space="preserve">Based on the uncontrolled levels of 2 diesel engines from References 6-7. Source Classification </t>
    </r>
  </si>
  <si>
    <r>
      <rPr>
        <sz val="11"/>
        <rFont val="Times New Roman"/>
        <family val="1"/>
      </rPr>
      <t>Codes 2-02-001-02, 2-03-001-01. To convert from lb/MMBtu to ng/J, multiply by 430.</t>
    </r>
  </si>
  <si>
    <r>
      <rPr>
        <sz val="9"/>
        <rFont val="Times New Roman"/>
        <family val="1"/>
      </rPr>
      <t xml:space="preserve">b </t>
    </r>
    <r>
      <rPr>
        <sz val="11"/>
        <rFont val="Times New Roman"/>
        <family val="1"/>
      </rPr>
      <t xml:space="preserve">Hazardous air pollutant listed in the </t>
    </r>
    <r>
      <rPr>
        <i/>
        <sz val="11"/>
        <rFont val="Times New Roman"/>
        <family val="1"/>
      </rPr>
      <t>Clean Air Act</t>
    </r>
    <r>
      <rPr>
        <sz val="11"/>
        <rFont val="Times New Roman"/>
        <family val="1"/>
      </rPr>
      <t>.</t>
    </r>
  </si>
  <si>
    <r>
      <rPr>
        <sz val="9"/>
        <rFont val="Times New Roman"/>
        <family val="1"/>
      </rPr>
      <t xml:space="preserve">c </t>
    </r>
    <r>
      <rPr>
        <sz val="11"/>
        <rFont val="Times New Roman"/>
        <family val="1"/>
      </rPr>
      <t>Based on data from 1 engine.</t>
    </r>
  </si>
  <si>
    <r>
      <t>Benzene</t>
    </r>
    <r>
      <rPr>
        <vertAlign val="superscript"/>
        <sz val="11"/>
        <color rgb="FFFF0000"/>
        <rFont val="Times New Roman"/>
        <family val="1"/>
      </rPr>
      <t>b</t>
    </r>
  </si>
  <si>
    <r>
      <rPr>
        <sz val="11.5"/>
        <rFont val="Times New Roman"/>
        <family val="1"/>
      </rPr>
      <t>TABLE 1.4-3. EMISSION FACTORS FOR SPECIATED ORGANIC COMPOUNDS FROM</t>
    </r>
  </si>
  <si>
    <r>
      <rPr>
        <sz val="11.5"/>
        <rFont val="Times New Roman"/>
        <family val="1"/>
      </rPr>
      <t>NATURAL GAS COMBUSTION</t>
    </r>
    <r>
      <rPr>
        <vertAlign val="superscript"/>
        <sz val="11.5"/>
        <rFont val="Times New Roman"/>
        <family val="1"/>
      </rPr>
      <t>a</t>
    </r>
  </si>
  <si>
    <r>
      <rPr>
        <sz val="11.5"/>
        <rFont val="Times New Roman"/>
        <family val="1"/>
      </rPr>
      <t>CAS No.</t>
    </r>
  </si>
  <si>
    <r>
      <rPr>
        <sz val="11.5"/>
        <rFont val="Times New Roman"/>
        <family val="1"/>
      </rPr>
      <t>Pollutant</t>
    </r>
  </si>
  <si>
    <r>
      <rPr>
        <sz val="11.5"/>
        <rFont val="Times New Roman"/>
        <family val="1"/>
      </rPr>
      <t xml:space="preserve">Emission Factor
</t>
    </r>
    <r>
      <rPr>
        <sz val="11.5"/>
        <rFont val="Times New Roman"/>
        <family val="1"/>
      </rPr>
      <t>(lb/10</t>
    </r>
    <r>
      <rPr>
        <vertAlign val="superscript"/>
        <sz val="11.5"/>
        <rFont val="Times New Roman"/>
        <family val="1"/>
      </rPr>
      <t>6</t>
    </r>
    <r>
      <rPr>
        <sz val="11.5"/>
        <rFont val="Times New Roman"/>
        <family val="1"/>
      </rPr>
      <t xml:space="preserve"> scf)</t>
    </r>
  </si>
  <si>
    <r>
      <rPr>
        <sz val="11.5"/>
        <rFont val="Times New Roman"/>
        <family val="1"/>
      </rPr>
      <t>Emission Factor Rating</t>
    </r>
  </si>
  <si>
    <r>
      <rPr>
        <sz val="11.5"/>
        <rFont val="Times New Roman"/>
        <family val="1"/>
      </rPr>
      <t>91-57-6</t>
    </r>
  </si>
  <si>
    <r>
      <rPr>
        <sz val="11.5"/>
        <rFont val="Times New Roman"/>
        <family val="1"/>
      </rPr>
      <t>2-Methylnaphthalene</t>
    </r>
    <r>
      <rPr>
        <sz val="7.5"/>
        <rFont val="Times New Roman"/>
        <family val="1"/>
      </rPr>
      <t>b, c</t>
    </r>
  </si>
  <si>
    <r>
      <rPr>
        <sz val="11.5"/>
        <rFont val="Times New Roman"/>
        <family val="1"/>
      </rPr>
      <t>D</t>
    </r>
  </si>
  <si>
    <r>
      <rPr>
        <sz val="11.5"/>
        <rFont val="Times New Roman"/>
        <family val="1"/>
      </rPr>
      <t>56-49-5</t>
    </r>
  </si>
  <si>
    <r>
      <rPr>
        <sz val="11.5"/>
        <rFont val="Times New Roman"/>
        <family val="1"/>
      </rPr>
      <t>3-Methylcholanthrene</t>
    </r>
    <r>
      <rPr>
        <sz val="7.5"/>
        <rFont val="Times New Roman"/>
        <family val="1"/>
      </rPr>
      <t>b, c</t>
    </r>
  </si>
  <si>
    <r>
      <rPr>
        <sz val="11.5"/>
        <rFont val="Times New Roman"/>
        <family val="1"/>
      </rPr>
      <t>&lt;1.8E-06</t>
    </r>
  </si>
  <si>
    <r>
      <rPr>
        <sz val="11.5"/>
        <rFont val="Times New Roman"/>
        <family val="1"/>
      </rPr>
      <t>E</t>
    </r>
  </si>
  <si>
    <r>
      <rPr>
        <sz val="11.5"/>
        <rFont val="Times New Roman"/>
        <family val="1"/>
      </rPr>
      <t>7,12-</t>
    </r>
  </si>
  <si>
    <r>
      <rPr>
        <sz val="11.5"/>
        <rFont val="Times New Roman"/>
        <family val="1"/>
      </rPr>
      <t>&lt;1.6E-05</t>
    </r>
  </si>
  <si>
    <r>
      <rPr>
        <sz val="11.5"/>
        <rFont val="Times New Roman"/>
        <family val="1"/>
      </rPr>
      <t>Dimethylbenz(a)anthracene</t>
    </r>
    <r>
      <rPr>
        <vertAlign val="superscript"/>
        <sz val="11.5"/>
        <rFont val="Times New Roman"/>
        <family val="1"/>
      </rPr>
      <t>b,c</t>
    </r>
  </si>
  <si>
    <r>
      <rPr>
        <sz val="11.5"/>
        <rFont val="Times New Roman"/>
        <family val="1"/>
      </rPr>
      <t>83-32-9</t>
    </r>
  </si>
  <si>
    <r>
      <rPr>
        <sz val="11.5"/>
        <rFont val="Times New Roman"/>
        <family val="1"/>
      </rPr>
      <t>Acenaphthene</t>
    </r>
    <r>
      <rPr>
        <vertAlign val="superscript"/>
        <sz val="11.5"/>
        <rFont val="Times New Roman"/>
        <family val="1"/>
      </rPr>
      <t>b,c</t>
    </r>
  </si>
  <si>
    <r>
      <rPr>
        <sz val="11.5"/>
        <rFont val="Times New Roman"/>
        <family val="1"/>
      </rPr>
      <t>203-96-8</t>
    </r>
  </si>
  <si>
    <r>
      <rPr>
        <sz val="11.5"/>
        <rFont val="Times New Roman"/>
        <family val="1"/>
      </rPr>
      <t>Acenaphthylene</t>
    </r>
    <r>
      <rPr>
        <vertAlign val="superscript"/>
        <sz val="11.5"/>
        <rFont val="Times New Roman"/>
        <family val="1"/>
      </rPr>
      <t>b,c</t>
    </r>
  </si>
  <si>
    <r>
      <rPr>
        <sz val="11.5"/>
        <rFont val="Times New Roman"/>
        <family val="1"/>
      </rPr>
      <t>120-12-7</t>
    </r>
  </si>
  <si>
    <r>
      <rPr>
        <sz val="11.5"/>
        <rFont val="Times New Roman"/>
        <family val="1"/>
      </rPr>
      <t>Anthracene</t>
    </r>
    <r>
      <rPr>
        <vertAlign val="superscript"/>
        <sz val="11.5"/>
        <rFont val="Times New Roman"/>
        <family val="1"/>
      </rPr>
      <t>b,c</t>
    </r>
  </si>
  <si>
    <r>
      <rPr>
        <sz val="11.5"/>
        <rFont val="Times New Roman"/>
        <family val="1"/>
      </rPr>
      <t>&lt;2.4E-06</t>
    </r>
  </si>
  <si>
    <r>
      <rPr>
        <sz val="11.5"/>
        <rFont val="Times New Roman"/>
        <family val="1"/>
      </rPr>
      <t>56-55-3</t>
    </r>
  </si>
  <si>
    <r>
      <rPr>
        <sz val="11.5"/>
        <rFont val="Times New Roman"/>
        <family val="1"/>
      </rPr>
      <t>Benz(a)anthracene</t>
    </r>
    <r>
      <rPr>
        <vertAlign val="superscript"/>
        <sz val="11.5"/>
        <rFont val="Times New Roman"/>
        <family val="1"/>
      </rPr>
      <t>b,c</t>
    </r>
  </si>
  <si>
    <r>
      <rPr>
        <sz val="11.5"/>
        <rFont val="Times New Roman"/>
        <family val="1"/>
      </rPr>
      <t>71-43-2</t>
    </r>
  </si>
  <si>
    <r>
      <rPr>
        <sz val="11.5"/>
        <rFont val="Times New Roman"/>
        <family val="1"/>
      </rPr>
      <t>B</t>
    </r>
  </si>
  <si>
    <r>
      <t>Benzene</t>
    </r>
    <r>
      <rPr>
        <vertAlign val="superscript"/>
        <sz val="11.5"/>
        <color rgb="FFFF0000"/>
        <rFont val="Times New Roman"/>
        <family val="1"/>
      </rPr>
      <t>b</t>
    </r>
  </si>
  <si>
    <r>
      <t>Benzene</t>
    </r>
    <r>
      <rPr>
        <vertAlign val="superscript"/>
        <sz val="11"/>
        <color rgb="FFFF0000"/>
        <rFont val="Times New Roman"/>
        <family val="1"/>
      </rPr>
      <t>e</t>
    </r>
  </si>
  <si>
    <t>table 1.4-3</t>
  </si>
  <si>
    <t>(lb/106 scf)</t>
  </si>
  <si>
    <t>(lb/MMBtu)c</t>
  </si>
  <si>
    <t>table 3.1-3</t>
  </si>
  <si>
    <t>ton benzene /ton fuel</t>
  </si>
  <si>
    <t>3.3-2</t>
  </si>
  <si>
    <t>table 3.2-3</t>
  </si>
  <si>
    <t>Benzene</t>
  </si>
  <si>
    <t>factors to ton/ton</t>
  </si>
  <si>
    <t>AP42-3.1.3</t>
  </si>
  <si>
    <t>AP42-3.2.3</t>
  </si>
  <si>
    <t>AP42-3.2.2</t>
  </si>
  <si>
    <t>AP42-3.3.2</t>
  </si>
  <si>
    <t>AP42-1.4.3</t>
  </si>
  <si>
    <t>mg benzeen/m3</t>
  </si>
  <si>
    <t xml:space="preserve"> categorie</t>
  </si>
  <si>
    <t>C6H6 door stookinstallaties</t>
  </si>
  <si>
    <t>C6H6 door flaring</t>
  </si>
  <si>
    <t>C6H6 emission due to burning efficiency flare</t>
  </si>
  <si>
    <t>C6H6 door venting</t>
  </si>
  <si>
    <t>C6H6 door diffuse emissies</t>
  </si>
  <si>
    <t>C6H6 emission sources</t>
  </si>
  <si>
    <t>C6H6 emission sub-sources</t>
  </si>
  <si>
    <t>benzene slip boilers</t>
  </si>
  <si>
    <t>benzene slip central heating</t>
  </si>
  <si>
    <t>benzene slip diesel engine</t>
  </si>
  <si>
    <t>benzene slip gas engine</t>
  </si>
  <si>
    <t>benzene slip furnace/OVC</t>
  </si>
  <si>
    <t>benzene slip gas turbine</t>
  </si>
  <si>
    <t>benzene slip incinerator</t>
  </si>
  <si>
    <t>benzene slip pre-heaters</t>
  </si>
  <si>
    <t>Neptune</t>
  </si>
  <si>
    <t>Methane</t>
  </si>
  <si>
    <t xml:space="preserve">Meten van specicifiek benzeen gehalte in uitlaatgassen </t>
  </si>
  <si>
    <t>C6H6 door venten (gekanaliseerd beoogd afvoeren)</t>
  </si>
  <si>
    <t>EPA-42 - tabellen 4-7/4-9 (zie AP-42 Benzene EF sheet)</t>
  </si>
  <si>
    <t xml:space="preserve">1. Meten </t>
  </si>
  <si>
    <t>XX</t>
  </si>
  <si>
    <t>x.xx</t>
  </si>
  <si>
    <t>xx.xx</t>
  </si>
  <si>
    <t>categories</t>
  </si>
  <si>
    <t>Boilers and furnaces (Stookinstallaties) - table 4-7 API compendium</t>
  </si>
  <si>
    <t>Engines and turbines (Stookinstallaties) - table 4-9 API compendium</t>
  </si>
  <si>
    <t>tonne/10^12 J LHV</t>
  </si>
  <si>
    <r>
      <rPr>
        <sz val="10"/>
        <rFont val="Times New Roman"/>
        <family val="1"/>
      </rPr>
      <t xml:space="preserve">0.10
0.11
1.30
1.37
</t>
    </r>
    <r>
      <rPr>
        <sz val="10"/>
        <color rgb="FFFF0000"/>
        <rFont val="Times New Roman"/>
        <family val="1"/>
      </rPr>
      <t>0.15
0.16</t>
    </r>
    <r>
      <rPr>
        <sz val="10"/>
        <rFont val="Times New Roman"/>
        <family val="1"/>
      </rPr>
      <t xml:space="preserve">
0.0035
0.0037
0.26
0.29</t>
    </r>
  </si>
  <si>
    <t>ton/MJ</t>
  </si>
  <si>
    <t>diesel</t>
  </si>
  <si>
    <t>MJ/l</t>
  </si>
  <si>
    <t>kg/l</t>
  </si>
  <si>
    <t>MJ/kg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</si>
</sst>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E+00"/>
    <numFmt numFmtId="167" formatCode="0.0000"/>
    <numFmt numFmtId="168" formatCode="0.000"/>
    <numFmt numFmtId="169" formatCode="0.000000000"/>
    <numFmt numFmtId="170" formatCode="0.00000"/>
  </numFmts>
  <fonts count="7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Calibri"/>
      <family val="2"/>
      <scheme val="minor"/>
    </font>
    <font>
      <sz val="10"/>
      <color theme="0"/>
      <name val="Calibri"/>
      <family val="2"/>
      <scheme val="minor"/>
    </font>
    <font>
      <sz val="10"/>
      <color rgb="FF9C0006"/>
      <name val="Calibri"/>
      <family val="2"/>
      <scheme val="minor"/>
    </font>
    <font>
      <b/>
      <sz val="10"/>
      <color rgb="FFFA7D00"/>
      <name val="Calibri"/>
      <family val="2"/>
      <scheme val="minor"/>
    </font>
    <font>
      <b/>
      <sz val="10"/>
      <color theme="0"/>
      <name val="Calibri"/>
      <family val="2"/>
      <scheme val="minor"/>
    </font>
    <font>
      <sz val="11"/>
      <color rgb="FF000000"/>
      <name val="Calibri"/>
      <family val="2"/>
      <scheme val="minor"/>
    </font>
    <font>
      <i/>
      <sz val="10"/>
      <color rgb="FF7F7F7F"/>
      <name val="Calibri"/>
      <family val="2"/>
      <scheme val="minor"/>
    </font>
    <font>
      <sz val="10"/>
      <color rgb="FF006100"/>
      <name val="Calibri"/>
      <family val="2"/>
      <scheme val="minor"/>
    </font>
    <font>
      <sz val="10"/>
      <color rgb="FF3F3F76"/>
      <name val="Calibri"/>
      <family val="2"/>
      <scheme val="minor"/>
    </font>
    <font>
      <sz val="10"/>
      <color rgb="FFFA7D00"/>
      <name val="Calibri"/>
      <family val="2"/>
      <scheme val="minor"/>
    </font>
    <font>
      <sz val="10"/>
      <color rgb="FF9C5700"/>
      <name val="Calibri"/>
      <family val="2"/>
      <scheme val="minor"/>
    </font>
    <font>
      <b/>
      <sz val="10"/>
      <color rgb="FF3F3F3F"/>
      <name val="Calibri"/>
      <family val="2"/>
      <scheme val="minor"/>
    </font>
    <font>
      <sz val="18"/>
      <color theme="3"/>
      <name val="Cambria"/>
      <family val="2"/>
      <scheme val="major"/>
    </font>
    <font>
      <b/>
      <sz val="10"/>
      <color theme="1"/>
      <name val="Calibri"/>
      <family val="2"/>
      <scheme val="minor"/>
    </font>
    <font>
      <sz val="10"/>
      <color rgb="FFFF0000"/>
      <name val="Calibri"/>
      <family val="2"/>
      <scheme val="minor"/>
    </font>
    <font>
      <b/>
      <sz val="13"/>
      <color theme="1"/>
      <name val="Calibri"/>
      <family val="2"/>
      <scheme val="minor"/>
    </font>
    <font>
      <u/>
      <sz val="11"/>
      <color theme="10"/>
      <name val="Calibri"/>
      <family val="2"/>
      <scheme val="minor"/>
    </font>
    <font>
      <sz val="10"/>
      <color rgb="FF000000"/>
      <name val="Times New Roman"/>
      <family val="1"/>
    </font>
    <font>
      <sz val="9"/>
      <color theme="1"/>
      <name val="Calibri"/>
      <family val="2"/>
      <scheme val="minor"/>
    </font>
    <font>
      <sz val="10"/>
      <color rgb="FF000000"/>
      <name val="Times New Roman"/>
      <family val="1"/>
    </font>
    <font>
      <sz val="13"/>
      <color theme="1"/>
      <name val="Calibri"/>
      <family val="2"/>
      <scheme val="minor"/>
    </font>
    <font>
      <b/>
      <sz val="12"/>
      <color theme="1"/>
      <name val="Calibri"/>
      <family val="2"/>
      <scheme val="minor"/>
    </font>
    <font>
      <u/>
      <sz val="11"/>
      <color theme="1"/>
      <name val="Calibri"/>
      <family val="2"/>
      <scheme val="minor"/>
    </font>
    <font>
      <sz val="11"/>
      <name val="Calibri"/>
      <family val="2"/>
      <scheme val="minor"/>
    </font>
    <font>
      <b/>
      <i/>
      <sz val="10"/>
      <name val="Times New Roman"/>
      <family val="1"/>
    </font>
    <font>
      <b/>
      <i/>
      <vertAlign val="superscript"/>
      <sz val="10"/>
      <name val="Times New Roman"/>
      <family val="1"/>
    </font>
    <font>
      <b/>
      <sz val="10"/>
      <name val="Times New Roman"/>
      <family val="1"/>
    </font>
    <font>
      <b/>
      <vertAlign val="superscript"/>
      <sz val="10"/>
      <name val="Times New Roman"/>
      <family val="1"/>
    </font>
    <font>
      <sz val="10"/>
      <name val="Times New Roman"/>
      <family val="1"/>
    </font>
    <font>
      <vertAlign val="superscript"/>
      <sz val="10"/>
      <name val="Times New Roman"/>
      <family val="1"/>
    </font>
    <font>
      <vertAlign val="subscript"/>
      <sz val="10"/>
      <name val="Times New Roman"/>
      <family val="1"/>
    </font>
    <font>
      <b/>
      <vertAlign val="subscript"/>
      <sz val="10"/>
      <name val="Times New Roman"/>
      <family val="1"/>
    </font>
    <font>
      <b/>
      <i/>
      <sz val="10"/>
      <name val="Arial"/>
      <family val="2"/>
    </font>
    <font>
      <b/>
      <i/>
      <vertAlign val="superscript"/>
      <sz val="10"/>
      <name val="Arial"/>
      <family val="2"/>
    </font>
    <font>
      <u/>
      <sz val="11"/>
      <color theme="11"/>
      <name val="Calibri"/>
      <family val="2"/>
      <scheme val="minor"/>
    </font>
    <font>
      <sz val="9"/>
      <color rgb="FFFF0000"/>
      <name val="Calibri"/>
      <family val="2"/>
      <scheme val="minor"/>
    </font>
    <font>
      <b/>
      <i/>
      <sz val="11"/>
      <color theme="1"/>
      <name val="Calibri"/>
      <family val="2"/>
      <scheme val="minor"/>
    </font>
    <font>
      <sz val="11"/>
      <color rgb="FF000000"/>
      <name val="Times New Roman"/>
      <family val="1"/>
    </font>
    <font>
      <sz val="11"/>
      <name val="Times New Roman"/>
      <family val="1"/>
    </font>
    <font>
      <vertAlign val="superscript"/>
      <sz val="11"/>
      <name val="Times New Roman"/>
      <family val="1"/>
    </font>
    <font>
      <sz val="8"/>
      <color rgb="FF000000"/>
      <name val="Times New Roman"/>
      <family val="1"/>
    </font>
    <font>
      <sz val="8"/>
      <name val="Times New Roman"/>
      <family val="1"/>
    </font>
    <font>
      <i/>
      <sz val="11"/>
      <name val="Times New Roman"/>
      <family val="1"/>
    </font>
    <font>
      <sz val="6"/>
      <name val="Arial"/>
      <family val="2"/>
    </font>
    <font>
      <sz val="11"/>
      <color rgb="FF0000FF"/>
      <name val="Times New Roman"/>
      <family val="1"/>
    </font>
    <font>
      <sz val="9"/>
      <name val="Times New Roman"/>
      <family val="1"/>
    </font>
    <font>
      <sz val="9"/>
      <color rgb="FF000000"/>
      <name val="Times New Roman"/>
      <family val="1"/>
    </font>
    <font>
      <sz val="11"/>
      <color rgb="FFFF0000"/>
      <name val="Times New Roman"/>
      <family val="1"/>
    </font>
    <font>
      <vertAlign val="subscript"/>
      <sz val="11"/>
      <name val="Times New Roman"/>
      <family val="1"/>
    </font>
    <font>
      <vertAlign val="superscript"/>
      <sz val="11"/>
      <color rgb="FFFF0000"/>
      <name val="Times New Roman"/>
      <family val="1"/>
    </font>
    <font>
      <sz val="11.5"/>
      <color rgb="FF000000"/>
      <name val="Times New Roman"/>
      <family val="1"/>
    </font>
    <font>
      <sz val="11.5"/>
      <name val="Times New Roman"/>
      <family val="1"/>
    </font>
    <font>
      <vertAlign val="superscript"/>
      <sz val="11.5"/>
      <name val="Times New Roman"/>
      <family val="1"/>
    </font>
    <font>
      <sz val="7.5"/>
      <name val="Times New Roman"/>
      <family val="1"/>
    </font>
    <font>
      <sz val="11.5"/>
      <color rgb="FFFF0000"/>
      <name val="Times New Roman"/>
      <family val="1"/>
    </font>
    <font>
      <vertAlign val="superscript"/>
      <sz val="11.5"/>
      <color rgb="FFFF0000"/>
      <name val="Times New Roman"/>
      <family val="1"/>
    </font>
    <font>
      <sz val="16"/>
      <color theme="1"/>
      <name val="Calibri"/>
      <family val="2"/>
      <scheme val="minor"/>
    </font>
    <font>
      <sz val="10"/>
      <color rgb="FFFF0000"/>
      <name val="Times New Roman"/>
      <family val="1"/>
    </font>
    <font>
      <sz val="10"/>
      <color theme="1"/>
      <name val="Times New Roman"/>
      <family val="1"/>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bgColor indexed="64"/>
      </patternFill>
    </fill>
    <fill>
      <patternFill patternType="solid">
        <fgColor rgb="FF00B050"/>
        <bgColor indexed="64"/>
      </patternFill>
    </fill>
    <fill>
      <patternFill patternType="solid">
        <fgColor theme="0" tint="-0.14999847407452621"/>
        <bgColor indexed="64"/>
      </patternFill>
    </fill>
    <fill>
      <patternFill patternType="solid">
        <fgColor rgb="FFFFFF00"/>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bottom style="medium">
        <color auto="1"/>
      </bottom>
      <diagonal/>
    </border>
    <border>
      <left/>
      <right/>
      <top style="thin">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medium">
        <color auto="1"/>
      </right>
      <top/>
      <bottom style="thin">
        <color auto="1"/>
      </bottom>
      <diagonal/>
    </border>
    <border>
      <left/>
      <right style="medium">
        <color auto="1"/>
      </right>
      <top style="medium">
        <color auto="1"/>
      </top>
      <bottom style="thin">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indexed="64"/>
      </right>
      <top/>
      <bottom style="thin">
        <color auto="1"/>
      </bottom>
      <diagonal/>
    </border>
  </borders>
  <cellStyleXfs count="147">
    <xf numFmtId="0" fontId="0" fillId="0" borderId="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1" fillId="10" borderId="0" applyNumberFormat="0" applyBorder="0" applyAlignment="0" applyProtection="0"/>
    <xf numFmtId="0" fontId="1"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9" fillId="26" borderId="0" applyNumberFormat="0" applyBorder="0" applyAlignment="0" applyProtection="0"/>
    <xf numFmtId="0" fontId="19"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9" fillId="30" borderId="0" applyNumberFormat="0" applyBorder="0" applyAlignment="0" applyProtection="0"/>
    <xf numFmtId="0" fontId="19"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9" fillId="23" borderId="0" applyNumberFormat="0" applyBorder="0" applyAlignment="0" applyProtection="0"/>
    <xf numFmtId="0" fontId="19"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9" fillId="27" borderId="0" applyNumberFormat="0" applyBorder="0" applyAlignment="0" applyProtection="0"/>
    <xf numFmtId="0" fontId="19"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9" fillId="31" borderId="0" applyNumberFormat="0" applyBorder="0" applyAlignment="0" applyProtection="0"/>
    <xf numFmtId="0" fontId="19" fillId="31" borderId="0" applyNumberFormat="0" applyBorder="0" applyAlignment="0" applyProtection="0"/>
    <xf numFmtId="0" fontId="17"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7"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7" fillId="20"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7" fillId="24" borderId="0" applyNumberFormat="0" applyBorder="0" applyAlignment="0" applyProtection="0"/>
    <xf numFmtId="0" fontId="19" fillId="24" borderId="0" applyNumberFormat="0" applyBorder="0" applyAlignment="0" applyProtection="0"/>
    <xf numFmtId="0" fontId="19" fillId="24" borderId="0" applyNumberFormat="0" applyBorder="0" applyAlignment="0" applyProtection="0"/>
    <xf numFmtId="0" fontId="17" fillId="28" borderId="0" applyNumberFormat="0" applyBorder="0" applyAlignment="0" applyProtection="0"/>
    <xf numFmtId="0" fontId="19" fillId="28" borderId="0" applyNumberFormat="0" applyBorder="0" applyAlignment="0" applyProtection="0"/>
    <xf numFmtId="0" fontId="19" fillId="28" borderId="0" applyNumberFormat="0" applyBorder="0" applyAlignment="0" applyProtection="0"/>
    <xf numFmtId="0" fontId="17" fillId="32" borderId="0" applyNumberFormat="0" applyBorder="0" applyAlignment="0" applyProtection="0"/>
    <xf numFmtId="0" fontId="19" fillId="32" borderId="0" applyNumberFormat="0" applyBorder="0" applyAlignment="0" applyProtection="0"/>
    <xf numFmtId="0" fontId="19" fillId="32" borderId="0" applyNumberFormat="0" applyBorder="0" applyAlignment="0" applyProtection="0"/>
    <xf numFmtId="0" fontId="1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1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17"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17"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17" fillId="25" borderId="0" applyNumberFormat="0" applyBorder="0" applyAlignment="0" applyProtection="0"/>
    <xf numFmtId="0" fontId="20" fillId="25" borderId="0" applyNumberFormat="0" applyBorder="0" applyAlignment="0" applyProtection="0"/>
    <xf numFmtId="0" fontId="20" fillId="25" borderId="0" applyNumberFormat="0" applyBorder="0" applyAlignment="0" applyProtection="0"/>
    <xf numFmtId="0" fontId="17" fillId="29" borderId="0" applyNumberFormat="0" applyBorder="0" applyAlignment="0" applyProtection="0"/>
    <xf numFmtId="0" fontId="20" fillId="29" borderId="0" applyNumberFormat="0" applyBorder="0" applyAlignment="0" applyProtection="0"/>
    <xf numFmtId="0" fontId="20" fillId="29" borderId="0" applyNumberFormat="0" applyBorder="0" applyAlignment="0" applyProtection="0"/>
    <xf numFmtId="0" fontId="7"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1" fillId="6" borderId="4" applyNumberFormat="0" applyAlignment="0" applyProtection="0"/>
    <xf numFmtId="0" fontId="22" fillId="6" borderId="4" applyNumberFormat="0" applyAlignment="0" applyProtection="0"/>
    <xf numFmtId="0" fontId="22" fillId="6" borderId="4" applyNumberFormat="0" applyAlignment="0" applyProtection="0"/>
    <xf numFmtId="0" fontId="13" fillId="7" borderId="7" applyNumberFormat="0" applyAlignment="0" applyProtection="0"/>
    <xf numFmtId="0" fontId="23" fillId="7" borderId="7" applyNumberFormat="0" applyAlignment="0" applyProtection="0"/>
    <xf numFmtId="0" fontId="23" fillId="7" borderId="7"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9" fillId="0" borderId="0" applyFont="0" applyFill="0" applyBorder="0" applyAlignment="0" applyProtection="0"/>
    <xf numFmtId="164" fontId="24" fillId="0" borderId="0" applyFont="0" applyFill="0" applyBorder="0" applyAlignment="0" applyProtection="0"/>
    <xf numFmtId="164" fontId="19" fillId="0" borderId="0" applyFont="0" applyFill="0" applyBorder="0" applyAlignment="0" applyProtection="0"/>
    <xf numFmtId="0" fontId="1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36" fillId="0" borderId="0"/>
    <xf numFmtId="0" fontId="5" fillId="0" borderId="0" applyNumberFormat="0" applyFill="0" applyBorder="0" applyAlignment="0" applyProtection="0"/>
    <xf numFmtId="0" fontId="35" fillId="0" borderId="0" applyNumberFormat="0" applyFill="0" applyBorder="0" applyAlignment="0" applyProtection="0"/>
    <xf numFmtId="0" fontId="9" fillId="5" borderId="4" applyNumberFormat="0" applyAlignment="0" applyProtection="0"/>
    <xf numFmtId="0" fontId="27" fillId="5" borderId="4" applyNumberFormat="0" applyAlignment="0" applyProtection="0"/>
    <xf numFmtId="0" fontId="27" fillId="5" borderId="4" applyNumberFormat="0" applyAlignment="0" applyProtection="0"/>
    <xf numFmtId="0" fontId="12"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8"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4" fillId="0" borderId="0"/>
    <xf numFmtId="0" fontId="19" fillId="0" borderId="0"/>
    <xf numFmtId="0" fontId="18"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9" fillId="8" borderId="8" applyNumberFormat="0" applyFont="0" applyAlignment="0" applyProtection="0"/>
    <xf numFmtId="0" fontId="19" fillId="8" borderId="8" applyNumberFormat="0" applyFont="0" applyAlignment="0" applyProtection="0"/>
    <xf numFmtId="0" fontId="10" fillId="6" borderId="5" applyNumberFormat="0" applyAlignment="0" applyProtection="0"/>
    <xf numFmtId="0" fontId="30" fillId="6" borderId="5" applyNumberFormat="0" applyAlignment="0" applyProtection="0"/>
    <xf numFmtId="0" fontId="30" fillId="6" borderId="5"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2" fillId="0" borderId="0" applyNumberFormat="0" applyFill="0" applyBorder="0" applyAlignment="0" applyProtection="0"/>
    <xf numFmtId="0" fontId="31" fillId="0" borderId="0" applyNumberFormat="0" applyFill="0" applyBorder="0" applyAlignment="0" applyProtection="0"/>
    <xf numFmtId="0" fontId="16" fillId="0" borderId="9" applyNumberFormat="0" applyFill="0" applyAlignment="0" applyProtection="0"/>
    <xf numFmtId="0" fontId="32" fillId="0" borderId="9" applyNumberFormat="0" applyFill="0" applyAlignment="0" applyProtection="0"/>
    <xf numFmtId="0" fontId="32" fillId="0" borderId="9" applyNumberFormat="0" applyFill="0" applyAlignment="0" applyProtection="0"/>
    <xf numFmtId="0" fontId="14"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8" fillId="0" borderId="0"/>
    <xf numFmtId="0" fontId="53" fillId="0" borderId="0" applyNumberFormat="0" applyFill="0" applyBorder="0" applyAlignment="0" applyProtection="0"/>
  </cellStyleXfs>
  <cellXfs count="381">
    <xf numFmtId="0" fontId="0" fillId="0" borderId="0" xfId="0"/>
    <xf numFmtId="0" fontId="0" fillId="0" borderId="0" xfId="0"/>
    <xf numFmtId="0" fontId="0" fillId="0" borderId="10" xfId="0" applyBorder="1"/>
    <xf numFmtId="0" fontId="0" fillId="0" borderId="13" xfId="0" applyBorder="1"/>
    <xf numFmtId="0" fontId="34" fillId="0" borderId="0" xfId="0" applyFont="1"/>
    <xf numFmtId="0" fontId="0" fillId="0" borderId="20" xfId="0" applyBorder="1"/>
    <xf numFmtId="0" fontId="0" fillId="0" borderId="21" xfId="0" applyBorder="1"/>
    <xf numFmtId="0" fontId="0" fillId="0" borderId="16" xfId="0" applyBorder="1"/>
    <xf numFmtId="0" fontId="0" fillId="0" borderId="14" xfId="0" applyBorder="1"/>
    <xf numFmtId="0" fontId="0" fillId="0" borderId="18" xfId="0" applyBorder="1"/>
    <xf numFmtId="0" fontId="0" fillId="0" borderId="15" xfId="0" applyBorder="1"/>
    <xf numFmtId="0" fontId="39" fillId="0" borderId="0" xfId="0" applyFont="1"/>
    <xf numFmtId="0" fontId="16" fillId="0" borderId="0" xfId="0" applyFont="1" applyFill="1" applyBorder="1" applyAlignment="1">
      <alignment wrapText="1"/>
    </xf>
    <xf numFmtId="0" fontId="35" fillId="0" borderId="23" xfId="114" applyBorder="1"/>
    <xf numFmtId="0" fontId="37" fillId="0" borderId="0" xfId="0" applyFont="1"/>
    <xf numFmtId="0" fontId="0" fillId="0" borderId="23" xfId="0" applyBorder="1" applyAlignment="1">
      <alignment wrapText="1"/>
    </xf>
    <xf numFmtId="0" fontId="0" fillId="0" borderId="23" xfId="0" applyBorder="1"/>
    <xf numFmtId="0" fontId="0" fillId="0" borderId="0" xfId="0"/>
    <xf numFmtId="0" fontId="0" fillId="0" borderId="0" xfId="0" applyBorder="1"/>
    <xf numFmtId="0" fontId="16" fillId="0" borderId="0" xfId="0" applyFont="1"/>
    <xf numFmtId="0" fontId="0" fillId="0" borderId="0" xfId="0" applyFill="1" applyBorder="1"/>
    <xf numFmtId="0" fontId="0" fillId="0" borderId="13" xfId="0" applyBorder="1"/>
    <xf numFmtId="0" fontId="34" fillId="0" borderId="0" xfId="0" applyFont="1"/>
    <xf numFmtId="0" fontId="0" fillId="0" borderId="21" xfId="0" applyBorder="1"/>
    <xf numFmtId="0" fontId="0" fillId="0" borderId="19" xfId="0" applyBorder="1"/>
    <xf numFmtId="0" fontId="0" fillId="0" borderId="16" xfId="0" applyBorder="1"/>
    <xf numFmtId="0" fontId="16" fillId="0" borderId="0" xfId="0" applyFont="1" applyFill="1" applyBorder="1"/>
    <xf numFmtId="0" fontId="0" fillId="0" borderId="0" xfId="0"/>
    <xf numFmtId="0" fontId="16" fillId="0" borderId="0" xfId="0" applyFont="1"/>
    <xf numFmtId="0" fontId="16" fillId="0" borderId="0" xfId="0" applyFont="1" applyFill="1" applyBorder="1"/>
    <xf numFmtId="14" fontId="0" fillId="0" borderId="0" xfId="0" applyNumberFormat="1"/>
    <xf numFmtId="0" fontId="35" fillId="0" borderId="16" xfId="114" applyBorder="1"/>
    <xf numFmtId="0" fontId="0" fillId="0" borderId="30" xfId="0" applyBorder="1"/>
    <xf numFmtId="0" fontId="0" fillId="0" borderId="37" xfId="0" applyBorder="1"/>
    <xf numFmtId="0" fontId="0" fillId="0" borderId="38" xfId="0" applyBorder="1"/>
    <xf numFmtId="0" fontId="0" fillId="0" borderId="10" xfId="0" applyBorder="1" applyAlignment="1">
      <alignment wrapText="1"/>
    </xf>
    <xf numFmtId="0" fontId="0" fillId="0" borderId="10" xfId="0" applyFill="1" applyBorder="1"/>
    <xf numFmtId="0" fontId="35" fillId="0" borderId="20" xfId="114" applyFill="1" applyBorder="1"/>
    <xf numFmtId="0" fontId="35" fillId="0" borderId="16" xfId="114" applyFill="1" applyBorder="1"/>
    <xf numFmtId="0" fontId="16" fillId="0" borderId="0" xfId="0" applyFont="1" applyAlignment="1">
      <alignment horizontal="right"/>
    </xf>
    <xf numFmtId="0" fontId="0" fillId="0" borderId="23" xfId="0" applyFont="1" applyBorder="1" applyAlignment="1">
      <alignment wrapText="1"/>
    </xf>
    <xf numFmtId="0" fontId="35" fillId="0" borderId="23" xfId="114" applyFill="1" applyBorder="1"/>
    <xf numFmtId="0" fontId="0" fillId="0" borderId="48" xfId="0" applyBorder="1" applyAlignment="1">
      <alignment wrapText="1"/>
    </xf>
    <xf numFmtId="0" fontId="35" fillId="0" borderId="0" xfId="114"/>
    <xf numFmtId="0" fontId="16" fillId="0" borderId="44" xfId="0" applyFont="1" applyBorder="1"/>
    <xf numFmtId="0" fontId="37" fillId="0" borderId="0" xfId="0" applyFont="1" applyAlignment="1"/>
    <xf numFmtId="0" fontId="14" fillId="0" borderId="0" xfId="0" applyFont="1"/>
    <xf numFmtId="0" fontId="37" fillId="0" borderId="0" xfId="0" applyFont="1" applyBorder="1"/>
    <xf numFmtId="0" fontId="37" fillId="0" borderId="0" xfId="0" applyFont="1" applyBorder="1" applyAlignment="1">
      <alignment wrapText="1"/>
    </xf>
    <xf numFmtId="0" fontId="16" fillId="33" borderId="10" xfId="0" applyFont="1" applyFill="1" applyBorder="1"/>
    <xf numFmtId="0" fontId="16" fillId="0" borderId="10" xfId="0" applyFont="1" applyBorder="1"/>
    <xf numFmtId="0" fontId="0" fillId="33" borderId="0" xfId="0" applyFill="1" applyAlignment="1">
      <alignment vertical="top" wrapText="1"/>
    </xf>
    <xf numFmtId="0" fontId="0" fillId="0" borderId="0" xfId="0" applyFill="1"/>
    <xf numFmtId="0" fontId="0" fillId="0" borderId="0" xfId="0"/>
    <xf numFmtId="0" fontId="0" fillId="0" borderId="0" xfId="0" applyAlignment="1">
      <alignment vertical="top" wrapText="1"/>
    </xf>
    <xf numFmtId="0" fontId="0" fillId="0" borderId="0" xfId="0" applyAlignment="1">
      <alignment vertical="top"/>
    </xf>
    <xf numFmtId="0" fontId="0" fillId="0" borderId="10" xfId="0" applyBorder="1" applyAlignment="1">
      <alignment vertical="top" wrapText="1"/>
    </xf>
    <xf numFmtId="0" fontId="0" fillId="33" borderId="10" xfId="0" applyFill="1" applyBorder="1" applyAlignment="1">
      <alignment vertical="top" wrapText="1"/>
    </xf>
    <xf numFmtId="0" fontId="0" fillId="0" borderId="10" xfId="0" applyFill="1" applyBorder="1" applyAlignment="1">
      <alignment vertical="top" wrapText="1"/>
    </xf>
    <xf numFmtId="1" fontId="0" fillId="33" borderId="10" xfId="0" applyNumberFormat="1" applyFill="1" applyBorder="1" applyAlignment="1">
      <alignment vertical="top" wrapText="1"/>
    </xf>
    <xf numFmtId="1" fontId="0" fillId="0" borderId="10" xfId="0" applyNumberFormat="1" applyFill="1" applyBorder="1" applyAlignment="1">
      <alignment vertical="top" wrapText="1"/>
    </xf>
    <xf numFmtId="165" fontId="0" fillId="0" borderId="10" xfId="0" applyNumberFormat="1" applyFill="1" applyBorder="1" applyAlignment="1">
      <alignment vertical="top" wrapText="1"/>
    </xf>
    <xf numFmtId="2" fontId="0" fillId="0" borderId="0" xfId="0" applyNumberFormat="1" applyAlignment="1">
      <alignment vertical="top" wrapText="1"/>
    </xf>
    <xf numFmtId="0" fontId="0" fillId="0" borderId="18" xfId="0" applyBorder="1" applyAlignment="1">
      <alignment vertical="top" wrapText="1"/>
    </xf>
    <xf numFmtId="0" fontId="0" fillId="33" borderId="18" xfId="0" applyFill="1" applyBorder="1" applyAlignment="1">
      <alignment vertical="top" wrapText="1"/>
    </xf>
    <xf numFmtId="0" fontId="0" fillId="33" borderId="15" xfId="0" applyFill="1" applyBorder="1" applyAlignment="1">
      <alignment vertical="top" wrapText="1"/>
    </xf>
    <xf numFmtId="0" fontId="0" fillId="33" borderId="19" xfId="0" applyFill="1" applyBorder="1" applyAlignment="1">
      <alignment vertical="top" wrapText="1"/>
    </xf>
    <xf numFmtId="0" fontId="0" fillId="0" borderId="20" xfId="0" applyBorder="1" applyAlignment="1">
      <alignment vertical="top" wrapText="1"/>
    </xf>
    <xf numFmtId="0" fontId="0" fillId="33" borderId="20" xfId="0" applyFill="1" applyBorder="1" applyAlignment="1">
      <alignment vertical="top" wrapText="1"/>
    </xf>
    <xf numFmtId="0" fontId="0" fillId="33" borderId="16" xfId="0" applyFill="1" applyBorder="1" applyAlignment="1">
      <alignment vertical="top" wrapText="1"/>
    </xf>
    <xf numFmtId="1" fontId="0" fillId="33" borderId="20" xfId="0" applyNumberFormat="1" applyFill="1" applyBorder="1" applyAlignment="1">
      <alignment vertical="top" wrapText="1"/>
    </xf>
    <xf numFmtId="0" fontId="0" fillId="0" borderId="31" xfId="0" applyBorder="1" applyAlignment="1">
      <alignment vertical="top" wrapText="1"/>
    </xf>
    <xf numFmtId="0" fontId="0" fillId="0" borderId="32" xfId="0" applyBorder="1" applyAlignment="1">
      <alignment vertical="top" wrapText="1"/>
    </xf>
    <xf numFmtId="0" fontId="0" fillId="0" borderId="21" xfId="0" applyBorder="1" applyAlignment="1">
      <alignment vertical="top" wrapText="1"/>
    </xf>
    <xf numFmtId="0" fontId="0" fillId="0" borderId="13" xfId="0" applyBorder="1" applyAlignment="1">
      <alignment vertical="top" wrapText="1"/>
    </xf>
    <xf numFmtId="1" fontId="0" fillId="0" borderId="20" xfId="0" applyNumberFormat="1" applyFill="1" applyBorder="1" applyAlignment="1">
      <alignment vertical="top" wrapText="1"/>
    </xf>
    <xf numFmtId="0" fontId="0" fillId="0" borderId="20" xfId="0" applyFill="1" applyBorder="1" applyAlignment="1">
      <alignment vertical="top" wrapText="1"/>
    </xf>
    <xf numFmtId="0" fontId="0" fillId="0" borderId="29" xfId="0" applyBorder="1" applyAlignment="1">
      <alignment vertical="top" wrapText="1"/>
    </xf>
    <xf numFmtId="1" fontId="0" fillId="0" borderId="10" xfId="0" applyNumberFormat="1" applyBorder="1" applyAlignment="1">
      <alignment vertical="top" wrapText="1"/>
    </xf>
    <xf numFmtId="0" fontId="0" fillId="0" borderId="30" xfId="0"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45" fillId="0" borderId="54" xfId="0" applyFont="1" applyFill="1" applyBorder="1" applyAlignment="1">
      <alignment horizontal="center" vertical="center" wrapText="1"/>
    </xf>
    <xf numFmtId="0" fontId="0" fillId="0" borderId="54" xfId="0" applyFill="1" applyBorder="1" applyAlignment="1">
      <alignment horizontal="left" vertical="top" wrapText="1"/>
    </xf>
    <xf numFmtId="0" fontId="45" fillId="0" borderId="54" xfId="0" applyFont="1" applyFill="1" applyBorder="1" applyAlignment="1">
      <alignment horizontal="left" vertical="top" wrapText="1" indent="5"/>
    </xf>
    <xf numFmtId="0" fontId="0" fillId="0" borderId="59" xfId="0" applyFill="1" applyBorder="1" applyAlignment="1">
      <alignment horizontal="left" vertical="top" wrapText="1"/>
    </xf>
    <xf numFmtId="0" fontId="0" fillId="0" borderId="60" xfId="0" applyFill="1" applyBorder="1" applyAlignment="1">
      <alignment horizontal="left" vertical="top" wrapText="1"/>
    </xf>
    <xf numFmtId="0" fontId="0" fillId="0" borderId="61" xfId="0" applyFill="1" applyBorder="1" applyAlignment="1">
      <alignment horizontal="left" vertical="top" wrapText="1"/>
    </xf>
    <xf numFmtId="0" fontId="47" fillId="0" borderId="54" xfId="0" applyFont="1" applyFill="1" applyBorder="1" applyAlignment="1">
      <alignment horizontal="left" vertical="top" wrapText="1"/>
    </xf>
    <xf numFmtId="166" fontId="36" fillId="0" borderId="51" xfId="0" applyNumberFormat="1" applyFont="1" applyFill="1" applyBorder="1" applyAlignment="1">
      <alignment horizontal="left" vertical="top" shrinkToFit="1"/>
    </xf>
    <xf numFmtId="0" fontId="47" fillId="0" borderId="53" xfId="0" applyFont="1" applyFill="1" applyBorder="1" applyAlignment="1">
      <alignment horizontal="left" vertical="top" wrapText="1"/>
    </xf>
    <xf numFmtId="0" fontId="0" fillId="0" borderId="54" xfId="0" applyFill="1" applyBorder="1" applyAlignment="1">
      <alignment horizontal="center" vertical="top" wrapText="1"/>
    </xf>
    <xf numFmtId="0" fontId="0" fillId="0" borderId="58" xfId="0" applyFill="1" applyBorder="1" applyAlignment="1">
      <alignment horizontal="left" wrapText="1"/>
    </xf>
    <xf numFmtId="0" fontId="0" fillId="0" borderId="54" xfId="0" applyFill="1" applyBorder="1" applyAlignment="1">
      <alignment horizontal="left" wrapText="1"/>
    </xf>
    <xf numFmtId="0" fontId="0" fillId="0" borderId="59" xfId="0" applyFill="1" applyBorder="1" applyAlignment="1">
      <alignment horizontal="left" vertical="top" wrapText="1" indent="4"/>
    </xf>
    <xf numFmtId="0" fontId="0" fillId="0" borderId="60" xfId="0" applyFill="1" applyBorder="1" applyAlignment="1">
      <alignment horizontal="left" vertical="center" wrapText="1"/>
    </xf>
    <xf numFmtId="0" fontId="0" fillId="0" borderId="62" xfId="0" applyFill="1" applyBorder="1" applyAlignment="1">
      <alignment horizontal="left" vertical="top" wrapText="1"/>
    </xf>
    <xf numFmtId="0" fontId="47" fillId="0" borderId="61" xfId="0" applyFont="1" applyFill="1" applyBorder="1" applyAlignment="1">
      <alignment horizontal="left" vertical="center" wrapText="1"/>
    </xf>
    <xf numFmtId="0" fontId="47" fillId="0" borderId="59" xfId="0" applyFont="1" applyFill="1" applyBorder="1" applyAlignment="1">
      <alignment horizontal="center" vertical="top" wrapText="1"/>
    </xf>
    <xf numFmtId="0" fontId="0" fillId="0" borderId="59" xfId="0" applyFill="1" applyBorder="1" applyAlignment="1">
      <alignment horizontal="center" vertical="top" wrapText="1"/>
    </xf>
    <xf numFmtId="0" fontId="47" fillId="0" borderId="59" xfId="0" applyFont="1" applyFill="1" applyBorder="1" applyAlignment="1">
      <alignment horizontal="left" vertical="top" wrapText="1"/>
    </xf>
    <xf numFmtId="0" fontId="45" fillId="0" borderId="54" xfId="0" applyFont="1" applyFill="1" applyBorder="1" applyAlignment="1">
      <alignment horizontal="left" vertical="center" wrapText="1"/>
    </xf>
    <xf numFmtId="0" fontId="0" fillId="0" borderId="59" xfId="0" applyFill="1" applyBorder="1" applyAlignment="1">
      <alignment horizontal="left" vertical="top" wrapText="1" indent="2"/>
    </xf>
    <xf numFmtId="0" fontId="47" fillId="0" borderId="59" xfId="0" applyFont="1" applyFill="1" applyBorder="1" applyAlignment="1">
      <alignment horizontal="left" vertical="top" wrapText="1" indent="2"/>
    </xf>
    <xf numFmtId="167" fontId="36" fillId="0" borderId="59" xfId="0" applyNumberFormat="1" applyFont="1" applyFill="1" applyBorder="1" applyAlignment="1">
      <alignment horizontal="left" vertical="top" indent="2" shrinkToFit="1"/>
    </xf>
    <xf numFmtId="168" fontId="36" fillId="0" borderId="59" xfId="0" applyNumberFormat="1" applyFont="1" applyFill="1" applyBorder="1" applyAlignment="1">
      <alignment horizontal="left" vertical="top" shrinkToFit="1"/>
    </xf>
    <xf numFmtId="0" fontId="45" fillId="0" borderId="54" xfId="0" applyFont="1" applyFill="1" applyBorder="1" applyAlignment="1">
      <alignment horizontal="left" vertical="center" wrapText="1" indent="1"/>
    </xf>
    <xf numFmtId="0" fontId="45" fillId="0" borderId="54" xfId="0" applyFont="1" applyFill="1" applyBorder="1" applyAlignment="1">
      <alignment horizontal="left" vertical="center" wrapText="1" indent="2"/>
    </xf>
    <xf numFmtId="167" fontId="36" fillId="0" borderId="59" xfId="0" applyNumberFormat="1" applyFont="1" applyFill="1" applyBorder="1" applyAlignment="1">
      <alignment horizontal="center" vertical="top" shrinkToFit="1"/>
    </xf>
    <xf numFmtId="167" fontId="36" fillId="0" borderId="54" xfId="0" applyNumberFormat="1" applyFont="1" applyFill="1" applyBorder="1" applyAlignment="1">
      <alignment horizontal="center" vertical="top" shrinkToFit="1"/>
    </xf>
    <xf numFmtId="165" fontId="36" fillId="0" borderId="54" xfId="0" applyNumberFormat="1" applyFont="1" applyFill="1" applyBorder="1" applyAlignment="1">
      <alignment horizontal="center" vertical="top" shrinkToFit="1"/>
    </xf>
    <xf numFmtId="0" fontId="47" fillId="0" borderId="54" xfId="0" applyFont="1" applyFill="1" applyBorder="1" applyAlignment="1">
      <alignment horizontal="center" vertical="top" wrapText="1"/>
    </xf>
    <xf numFmtId="166" fontId="36" fillId="0" borderId="54" xfId="0" applyNumberFormat="1" applyFont="1" applyFill="1" applyBorder="1" applyAlignment="1">
      <alignment horizontal="center" vertical="top" shrinkToFit="1"/>
    </xf>
    <xf numFmtId="11" fontId="36" fillId="0" borderId="54" xfId="0" applyNumberFormat="1" applyFont="1" applyFill="1" applyBorder="1" applyAlignment="1">
      <alignment horizontal="center" vertical="top" shrinkToFit="1"/>
    </xf>
    <xf numFmtId="0" fontId="0" fillId="0" borderId="44" xfId="0" applyBorder="1"/>
    <xf numFmtId="0" fontId="0" fillId="0" borderId="10" xfId="0" applyNumberFormat="1" applyBorder="1" applyAlignment="1">
      <alignment horizontal="right"/>
    </xf>
    <xf numFmtId="0" fontId="0" fillId="0" borderId="10" xfId="0" applyBorder="1" applyAlignment="1">
      <alignment horizontal="right"/>
    </xf>
    <xf numFmtId="0" fontId="24" fillId="0" borderId="10" xfId="0" applyFont="1" applyBorder="1"/>
    <xf numFmtId="0" fontId="24" fillId="0" borderId="64" xfId="0" applyFont="1" applyBorder="1" applyAlignment="1">
      <alignment horizontal="right"/>
    </xf>
    <xf numFmtId="0" fontId="24" fillId="0" borderId="64" xfId="0" applyFont="1" applyBorder="1"/>
    <xf numFmtId="0" fontId="24" fillId="0" borderId="65" xfId="0" applyFont="1" applyBorder="1"/>
    <xf numFmtId="0" fontId="24" fillId="0" borderId="66" xfId="0" applyFont="1" applyBorder="1" applyAlignment="1">
      <alignment horizontal="right"/>
    </xf>
    <xf numFmtId="0" fontId="24" fillId="0" borderId="66" xfId="0" applyFont="1" applyBorder="1"/>
    <xf numFmtId="0" fontId="0" fillId="0" borderId="15" xfId="0" applyFill="1" applyBorder="1"/>
    <xf numFmtId="0" fontId="42" fillId="0" borderId="19" xfId="0" applyFont="1" applyFill="1" applyBorder="1"/>
    <xf numFmtId="0" fontId="54" fillId="0" borderId="0" xfId="0" applyFont="1" applyAlignment="1"/>
    <xf numFmtId="0" fontId="24" fillId="0" borderId="66" xfId="0" applyFont="1" applyFill="1" applyBorder="1" applyAlignment="1">
      <alignment horizontal="right"/>
    </xf>
    <xf numFmtId="0" fontId="16" fillId="0" borderId="10" xfId="0" applyFont="1" applyFill="1" applyBorder="1"/>
    <xf numFmtId="0" fontId="16" fillId="33" borderId="10" xfId="0" applyFont="1" applyFill="1" applyBorder="1" applyAlignment="1">
      <alignment horizontal="left"/>
    </xf>
    <xf numFmtId="0" fontId="0" fillId="0" borderId="0" xfId="0" applyBorder="1" applyAlignment="1">
      <alignment vertical="top" wrapText="1"/>
    </xf>
    <xf numFmtId="0" fontId="16" fillId="0" borderId="0" xfId="0" applyFont="1" applyAlignment="1">
      <alignment vertical="top" wrapText="1"/>
    </xf>
    <xf numFmtId="0" fontId="47" fillId="0" borderId="59" xfId="0" applyFont="1" applyFill="1" applyBorder="1" applyAlignment="1">
      <alignment horizontal="left" vertical="top" wrapText="1" indent="2"/>
    </xf>
    <xf numFmtId="0" fontId="0" fillId="0" borderId="0" xfId="0" applyAlignment="1">
      <alignment horizontal="center"/>
    </xf>
    <xf numFmtId="0" fontId="0" fillId="35" borderId="10" xfId="0" applyFill="1" applyBorder="1" applyAlignment="1">
      <alignment vertical="top" wrapText="1"/>
    </xf>
    <xf numFmtId="2" fontId="0" fillId="36" borderId="10" xfId="0" applyNumberFormat="1" applyFill="1" applyBorder="1" applyAlignment="1">
      <alignment horizontal="right"/>
    </xf>
    <xf numFmtId="0" fontId="0" fillId="37" borderId="0" xfId="0" applyFill="1"/>
    <xf numFmtId="0" fontId="16" fillId="35" borderId="10" xfId="0" applyFont="1" applyFill="1" applyBorder="1" applyAlignment="1">
      <alignment horizontal="left"/>
    </xf>
    <xf numFmtId="0" fontId="16" fillId="36" borderId="10" xfId="0" applyFont="1" applyFill="1" applyBorder="1" applyAlignment="1">
      <alignment horizontal="left"/>
    </xf>
    <xf numFmtId="0" fontId="16" fillId="37" borderId="10" xfId="0" applyFont="1" applyFill="1" applyBorder="1" applyAlignment="1">
      <alignment horizontal="left"/>
    </xf>
    <xf numFmtId="0" fontId="16" fillId="37" borderId="14" xfId="0" applyFont="1" applyFill="1" applyBorder="1" applyAlignment="1">
      <alignment horizontal="right"/>
    </xf>
    <xf numFmtId="0" fontId="16" fillId="37" borderId="15" xfId="0" applyFont="1" applyFill="1" applyBorder="1"/>
    <xf numFmtId="0" fontId="16" fillId="37" borderId="0" xfId="0" applyFont="1" applyFill="1" applyBorder="1"/>
    <xf numFmtId="0" fontId="40" fillId="37" borderId="0" xfId="0" applyFont="1" applyFill="1"/>
    <xf numFmtId="0" fontId="40" fillId="37" borderId="23" xfId="0" applyFont="1" applyFill="1" applyBorder="1" applyAlignment="1">
      <alignment horizontal="left"/>
    </xf>
    <xf numFmtId="0" fontId="0" fillId="35" borderId="69" xfId="0" applyFill="1" applyBorder="1"/>
    <xf numFmtId="0" fontId="0" fillId="0" borderId="69" xfId="0" applyBorder="1" applyAlignment="1">
      <alignment vertical="top" wrapText="1"/>
    </xf>
    <xf numFmtId="0" fontId="0" fillId="0" borderId="69" xfId="0" applyBorder="1" applyAlignment="1">
      <alignment vertical="top"/>
    </xf>
    <xf numFmtId="0" fontId="0" fillId="35" borderId="70" xfId="0" applyFill="1" applyBorder="1"/>
    <xf numFmtId="0" fontId="0" fillId="35" borderId="64" xfId="0" applyFill="1" applyBorder="1"/>
    <xf numFmtId="0" fontId="0" fillId="35" borderId="66" xfId="0" applyFill="1" applyBorder="1"/>
    <xf numFmtId="0" fontId="0" fillId="0" borderId="0" xfId="0" applyAlignment="1">
      <alignment horizontal="left"/>
    </xf>
    <xf numFmtId="0" fontId="55" fillId="0" borderId="13" xfId="0" applyFont="1" applyBorder="1"/>
    <xf numFmtId="0" fontId="56" fillId="0" borderId="0" xfId="0" applyFont="1" applyAlignment="1">
      <alignment horizontal="left"/>
    </xf>
    <xf numFmtId="0" fontId="0" fillId="0" borderId="0" xfId="0" applyAlignment="1"/>
    <xf numFmtId="0" fontId="56" fillId="0" borderId="71" xfId="0" applyFont="1" applyBorder="1" applyAlignment="1">
      <alignment horizontal="right" wrapText="1"/>
    </xf>
    <xf numFmtId="0" fontId="56" fillId="0" borderId="71" xfId="0" applyFont="1" applyBorder="1" applyAlignment="1">
      <alignment horizontal="center" wrapText="1"/>
    </xf>
    <xf numFmtId="0" fontId="0" fillId="0" borderId="65" xfId="0" applyBorder="1" applyAlignment="1">
      <alignment horizontal="left" wrapText="1"/>
    </xf>
    <xf numFmtId="0" fontId="56" fillId="0" borderId="65" xfId="0" applyFont="1" applyBorder="1" applyAlignment="1">
      <alignment horizontal="right" wrapText="1"/>
    </xf>
    <xf numFmtId="0" fontId="56" fillId="0" borderId="71" xfId="0" applyFont="1" applyBorder="1" applyAlignment="1">
      <alignment horizontal="left" wrapText="1"/>
    </xf>
    <xf numFmtId="0" fontId="56" fillId="0" borderId="72" xfId="0" applyFont="1" applyBorder="1" applyAlignment="1">
      <alignment horizontal="left" wrapText="1"/>
    </xf>
    <xf numFmtId="166" fontId="56" fillId="0" borderId="72" xfId="0" applyNumberFormat="1" applyFont="1" applyBorder="1" applyAlignment="1">
      <alignment horizontal="right" wrapText="1"/>
    </xf>
    <xf numFmtId="0" fontId="56" fillId="0" borderId="72" xfId="0" applyFont="1" applyBorder="1" applyAlignment="1">
      <alignment horizontal="right" wrapText="1"/>
    </xf>
    <xf numFmtId="0" fontId="56" fillId="0" borderId="65" xfId="0" applyFont="1" applyBorder="1" applyAlignment="1">
      <alignment horizontal="left" wrapText="1"/>
    </xf>
    <xf numFmtId="166" fontId="56" fillId="0" borderId="65" xfId="0" applyNumberFormat="1" applyFont="1" applyBorder="1" applyAlignment="1">
      <alignment horizontal="right" wrapText="1"/>
    </xf>
    <xf numFmtId="0" fontId="59" fillId="0" borderId="0" xfId="0" applyFont="1" applyAlignment="1">
      <alignment horizontal="left"/>
    </xf>
    <xf numFmtId="0" fontId="56" fillId="38" borderId="0" xfId="0" applyFont="1" applyFill="1" applyAlignment="1">
      <alignment horizontal="left"/>
    </xf>
    <xf numFmtId="0" fontId="0" fillId="38" borderId="0" xfId="0" applyFill="1" applyAlignment="1"/>
    <xf numFmtId="0" fontId="69" fillId="0" borderId="10" xfId="0" applyFont="1" applyBorder="1" applyAlignment="1">
      <alignment horizontal="center" wrapText="1"/>
    </xf>
    <xf numFmtId="0" fontId="66" fillId="0" borderId="72" xfId="0" applyFont="1" applyBorder="1" applyAlignment="1">
      <alignment horizontal="left" wrapText="1"/>
    </xf>
    <xf numFmtId="166" fontId="66" fillId="38" borderId="72" xfId="0" applyNumberFormat="1" applyFont="1" applyFill="1" applyBorder="1" applyAlignment="1">
      <alignment horizontal="right" wrapText="1"/>
    </xf>
    <xf numFmtId="0" fontId="57" fillId="0" borderId="65" xfId="0" applyFont="1" applyBorder="1" applyAlignment="1">
      <alignment horizontal="right" wrapText="1"/>
    </xf>
    <xf numFmtId="166" fontId="57" fillId="0" borderId="72" xfId="0" applyNumberFormat="1" applyFont="1" applyFill="1" applyBorder="1" applyAlignment="1">
      <alignment horizontal="right" wrapText="1"/>
    </xf>
    <xf numFmtId="11" fontId="0" fillId="0" borderId="0" xfId="0" applyNumberFormat="1"/>
    <xf numFmtId="11" fontId="0" fillId="0" borderId="0" xfId="0" applyNumberFormat="1" applyAlignment="1"/>
    <xf numFmtId="11" fontId="24" fillId="0" borderId="66" xfId="0" applyNumberFormat="1" applyFont="1" applyBorder="1" applyAlignment="1">
      <alignment horizontal="right"/>
    </xf>
    <xf numFmtId="0" fontId="56" fillId="0" borderId="10" xfId="0" applyFont="1" applyBorder="1" applyAlignment="1">
      <alignment horizontal="right" wrapText="1"/>
    </xf>
    <xf numFmtId="9" fontId="24" fillId="0" borderId="66" xfId="0" applyNumberFormat="1" applyFont="1" applyFill="1" applyBorder="1" applyAlignment="1">
      <alignment horizontal="right"/>
    </xf>
    <xf numFmtId="0" fontId="0" fillId="0" borderId="0" xfId="0" applyBorder="1" applyAlignment="1">
      <alignment wrapText="1"/>
    </xf>
    <xf numFmtId="0" fontId="0" fillId="37" borderId="64" xfId="0" applyFill="1" applyBorder="1" applyAlignment="1">
      <alignment wrapText="1"/>
    </xf>
    <xf numFmtId="0" fontId="0" fillId="37" borderId="10" xfId="0" applyFill="1" applyBorder="1" applyAlignment="1">
      <alignment wrapText="1"/>
    </xf>
    <xf numFmtId="0" fontId="0" fillId="37" borderId="10" xfId="0" applyFill="1" applyBorder="1" applyAlignment="1"/>
    <xf numFmtId="0" fontId="16" fillId="37" borderId="67" xfId="0" applyFont="1" applyFill="1" applyBorder="1" applyAlignment="1">
      <alignment horizontal="center" wrapText="1"/>
    </xf>
    <xf numFmtId="0" fontId="0" fillId="37" borderId="18" xfId="0" applyFill="1" applyBorder="1" applyAlignment="1">
      <alignment horizontal="center" wrapText="1"/>
    </xf>
    <xf numFmtId="0" fontId="0" fillId="37" borderId="65" xfId="0" applyFill="1" applyBorder="1" applyAlignment="1"/>
    <xf numFmtId="0" fontId="0" fillId="37" borderId="68" xfId="0" applyFill="1" applyBorder="1" applyAlignment="1">
      <alignment wrapText="1"/>
    </xf>
    <xf numFmtId="0" fontId="0" fillId="37" borderId="20" xfId="0" applyFill="1" applyBorder="1" applyAlignment="1">
      <alignment wrapText="1"/>
    </xf>
    <xf numFmtId="0" fontId="0" fillId="37" borderId="20" xfId="0" applyFill="1" applyBorder="1" applyAlignment="1"/>
    <xf numFmtId="0" fontId="0" fillId="37" borderId="10" xfId="0" applyFill="1" applyBorder="1" applyAlignment="1">
      <alignment horizontal="right" wrapText="1"/>
    </xf>
    <xf numFmtId="2" fontId="0" fillId="37" borderId="10" xfId="0" applyNumberFormat="1" applyFill="1" applyBorder="1" applyAlignment="1"/>
    <xf numFmtId="0" fontId="0" fillId="0" borderId="69" xfId="0" applyBorder="1" applyAlignment="1">
      <alignment wrapText="1"/>
    </xf>
    <xf numFmtId="0" fontId="0" fillId="0" borderId="69" xfId="0" applyBorder="1" applyAlignment="1">
      <alignment horizontal="center" wrapText="1"/>
    </xf>
    <xf numFmtId="0" fontId="0" fillId="0" borderId="69" xfId="0" applyFill="1" applyBorder="1" applyAlignment="1">
      <alignment horizontal="center" wrapText="1"/>
    </xf>
    <xf numFmtId="0" fontId="16" fillId="37" borderId="14" xfId="0" applyFont="1" applyFill="1" applyBorder="1" applyAlignment="1">
      <alignment horizontal="center" wrapText="1"/>
    </xf>
    <xf numFmtId="0" fontId="0" fillId="37" borderId="18" xfId="0" applyFill="1" applyBorder="1" applyAlignment="1"/>
    <xf numFmtId="0" fontId="0" fillId="37" borderId="15" xfId="0" applyFill="1" applyBorder="1" applyAlignment="1"/>
    <xf numFmtId="0" fontId="0" fillId="37" borderId="21" xfId="0" applyFill="1" applyBorder="1" applyAlignment="1">
      <alignment wrapText="1"/>
    </xf>
    <xf numFmtId="0" fontId="0" fillId="37" borderId="19" xfId="0" applyFill="1" applyBorder="1" applyAlignment="1"/>
    <xf numFmtId="0" fontId="0" fillId="37" borderId="13" xfId="0" applyFill="1" applyBorder="1" applyAlignment="1">
      <alignment wrapText="1"/>
    </xf>
    <xf numFmtId="0" fontId="0" fillId="37" borderId="16" xfId="0" applyFill="1" applyBorder="1" applyAlignment="1"/>
    <xf numFmtId="2" fontId="0" fillId="36" borderId="21" xfId="0" applyNumberFormat="1" applyFill="1" applyBorder="1" applyAlignment="1">
      <alignment horizontal="right"/>
    </xf>
    <xf numFmtId="11" fontId="0" fillId="37" borderId="73" xfId="0" applyNumberFormat="1" applyFill="1" applyBorder="1" applyAlignment="1"/>
    <xf numFmtId="2" fontId="0" fillId="36" borderId="13" xfId="0" applyNumberFormat="1" applyFill="1" applyBorder="1" applyAlignment="1">
      <alignment horizontal="right"/>
    </xf>
    <xf numFmtId="0" fontId="0" fillId="37" borderId="29" xfId="0" applyFill="1" applyBorder="1" applyAlignment="1">
      <alignment wrapText="1"/>
    </xf>
    <xf numFmtId="0" fontId="0" fillId="37" borderId="29" xfId="0" applyFill="1" applyBorder="1" applyAlignment="1">
      <alignment horizontal="right" wrapText="1"/>
    </xf>
    <xf numFmtId="2" fontId="0" fillId="36" borderId="20" xfId="0" applyNumberFormat="1" applyFill="1" applyBorder="1" applyAlignment="1">
      <alignment horizontal="right"/>
    </xf>
    <xf numFmtId="169" fontId="0" fillId="36" borderId="10" xfId="0" applyNumberFormat="1" applyFill="1" applyBorder="1" applyAlignment="1">
      <alignment horizontal="right"/>
    </xf>
    <xf numFmtId="0" fontId="56" fillId="0" borderId="10" xfId="0" applyFont="1" applyBorder="1" applyAlignment="1">
      <alignment horizontal="center" wrapText="1"/>
    </xf>
    <xf numFmtId="0" fontId="64" fillId="0" borderId="71" xfId="0" applyFont="1" applyBorder="1" applyAlignment="1">
      <alignment horizontal="right" wrapText="1"/>
    </xf>
    <xf numFmtId="0" fontId="57" fillId="0" borderId="71" xfId="0" applyFont="1" applyBorder="1" applyAlignment="1">
      <alignment horizontal="left" wrapText="1"/>
    </xf>
    <xf numFmtId="0" fontId="56" fillId="0" borderId="10" xfId="0" applyFont="1" applyBorder="1" applyAlignment="1">
      <alignment horizontal="left" wrapText="1"/>
    </xf>
    <xf numFmtId="0" fontId="66" fillId="0" borderId="71" xfId="0" applyFont="1" applyBorder="1" applyAlignment="1">
      <alignment horizontal="left" wrapText="1"/>
    </xf>
    <xf numFmtId="11" fontId="66" fillId="0" borderId="71" xfId="0" applyNumberFormat="1" applyFont="1" applyBorder="1" applyAlignment="1">
      <alignment horizontal="right" wrapText="1"/>
    </xf>
    <xf numFmtId="11" fontId="56" fillId="0" borderId="72" xfId="0" applyNumberFormat="1" applyFont="1" applyBorder="1" applyAlignment="1">
      <alignment horizontal="right" wrapText="1"/>
    </xf>
    <xf numFmtId="0" fontId="56" fillId="0" borderId="72" xfId="0" applyFont="1" applyBorder="1" applyAlignment="1">
      <alignment horizontal="center" wrapText="1"/>
    </xf>
    <xf numFmtId="0" fontId="57" fillId="0" borderId="72" xfId="0" applyFont="1" applyBorder="1" applyAlignment="1">
      <alignment horizontal="left" wrapText="1"/>
    </xf>
    <xf numFmtId="0" fontId="64" fillId="0" borderId="10" xfId="0" applyFont="1" applyBorder="1" applyAlignment="1">
      <alignment horizontal="right" wrapText="1"/>
    </xf>
    <xf numFmtId="0" fontId="69" fillId="0" borderId="0" xfId="0" applyFont="1" applyAlignment="1">
      <alignment horizontal="left"/>
    </xf>
    <xf numFmtId="0" fontId="65" fillId="0" borderId="0" xfId="0" applyFont="1" applyAlignment="1">
      <alignment horizontal="left"/>
    </xf>
    <xf numFmtId="0" fontId="69" fillId="0" borderId="10" xfId="0" applyFont="1" applyBorder="1" applyAlignment="1">
      <alignment horizontal="right" wrapText="1"/>
    </xf>
    <xf numFmtId="0" fontId="70" fillId="0" borderId="10" xfId="0" applyFont="1" applyBorder="1" applyAlignment="1">
      <alignment horizontal="center" wrapText="1"/>
    </xf>
    <xf numFmtId="0" fontId="69" fillId="0" borderId="71" xfId="0" applyFont="1" applyBorder="1" applyAlignment="1">
      <alignment horizontal="left" wrapText="1"/>
    </xf>
    <xf numFmtId="166" fontId="69" fillId="0" borderId="71" xfId="0" applyNumberFormat="1" applyFont="1" applyBorder="1" applyAlignment="1">
      <alignment horizontal="center" wrapText="1"/>
    </xf>
    <xf numFmtId="0" fontId="69" fillId="0" borderId="71" xfId="0" applyFont="1" applyBorder="1" applyAlignment="1">
      <alignment horizontal="center" wrapText="1"/>
    </xf>
    <xf numFmtId="0" fontId="69" fillId="0" borderId="72" xfId="0" applyFont="1" applyBorder="1" applyAlignment="1">
      <alignment horizontal="left" wrapText="1"/>
    </xf>
    <xf numFmtId="0" fontId="69" fillId="0" borderId="72" xfId="0" applyFont="1" applyBorder="1" applyAlignment="1">
      <alignment horizontal="center" wrapText="1"/>
    </xf>
    <xf numFmtId="0" fontId="0" fillId="0" borderId="72" xfId="0" applyBorder="1" applyAlignment="1">
      <alignment horizontal="left" wrapText="1"/>
    </xf>
    <xf numFmtId="0" fontId="73" fillId="0" borderId="72" xfId="0" applyFont="1" applyBorder="1" applyAlignment="1">
      <alignment horizontal="left" wrapText="1"/>
    </xf>
    <xf numFmtId="166" fontId="73" fillId="0" borderId="72" xfId="0" applyNumberFormat="1" applyFont="1" applyBorder="1" applyAlignment="1">
      <alignment horizontal="center" wrapText="1"/>
    </xf>
    <xf numFmtId="0" fontId="0" fillId="0" borderId="10" xfId="0" applyBorder="1" applyAlignment="1"/>
    <xf numFmtId="166" fontId="70" fillId="0" borderId="72" xfId="0" applyNumberFormat="1" applyFont="1" applyBorder="1" applyAlignment="1">
      <alignment horizontal="right" wrapText="1"/>
    </xf>
    <xf numFmtId="0" fontId="0" fillId="0" borderId="0" xfId="0" applyAlignment="1">
      <alignment wrapText="1"/>
    </xf>
    <xf numFmtId="0" fontId="24" fillId="0" borderId="10" xfId="0" applyFont="1" applyBorder="1" applyAlignment="1"/>
    <xf numFmtId="0" fontId="24" fillId="0" borderId="64" xfId="0" applyFont="1" applyBorder="1" applyAlignment="1"/>
    <xf numFmtId="0" fontId="39" fillId="0" borderId="0" xfId="0" applyFont="1" applyAlignment="1"/>
    <xf numFmtId="0" fontId="24" fillId="0" borderId="65" xfId="0" applyFont="1" applyBorder="1" applyAlignment="1"/>
    <xf numFmtId="0" fontId="24" fillId="0" borderId="66" xfId="0" applyFont="1" applyBorder="1" applyAlignment="1"/>
    <xf numFmtId="170" fontId="0" fillId="0" borderId="0" xfId="0" applyNumberFormat="1" applyAlignment="1">
      <alignment wrapText="1"/>
    </xf>
    <xf numFmtId="0" fontId="75" fillId="0" borderId="0" xfId="0" applyFont="1" applyAlignment="1">
      <alignment vertical="top"/>
    </xf>
    <xf numFmtId="0" fontId="16" fillId="37" borderId="23" xfId="0" applyFont="1" applyFill="1" applyBorder="1" applyAlignment="1">
      <alignment vertical="top" wrapText="1"/>
    </xf>
    <xf numFmtId="0" fontId="0" fillId="0" borderId="40" xfId="0" applyFill="1" applyBorder="1" applyAlignment="1">
      <alignment vertical="top" wrapText="1"/>
    </xf>
    <xf numFmtId="0" fontId="0" fillId="0" borderId="50"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49" xfId="0" applyFill="1" applyBorder="1" applyAlignment="1">
      <alignment vertical="top" wrapText="1"/>
    </xf>
    <xf numFmtId="0" fontId="16" fillId="37" borderId="11" xfId="0" applyFont="1" applyFill="1" applyBorder="1" applyAlignment="1">
      <alignment vertical="top"/>
    </xf>
    <xf numFmtId="0" fontId="16" fillId="37" borderId="12" xfId="0" applyFont="1" applyFill="1" applyBorder="1" applyAlignment="1">
      <alignment vertical="top"/>
    </xf>
    <xf numFmtId="0" fontId="16" fillId="37" borderId="17" xfId="0" applyFont="1" applyFill="1" applyBorder="1" applyAlignment="1">
      <alignment vertical="top"/>
    </xf>
    <xf numFmtId="0" fontId="16" fillId="37" borderId="22" xfId="0" applyFont="1" applyFill="1" applyBorder="1" applyAlignment="1">
      <alignment vertical="top"/>
    </xf>
    <xf numFmtId="0" fontId="16" fillId="37" borderId="36" xfId="0" applyFont="1" applyFill="1" applyBorder="1" applyAlignment="1">
      <alignment vertical="top"/>
    </xf>
    <xf numFmtId="0" fontId="16" fillId="37" borderId="0" xfId="0" applyFont="1" applyFill="1" applyBorder="1" applyAlignment="1">
      <alignment vertical="top"/>
    </xf>
    <xf numFmtId="0" fontId="16" fillId="37" borderId="23" xfId="0" applyFont="1" applyFill="1" applyBorder="1" applyAlignment="1">
      <alignment vertical="top"/>
    </xf>
    <xf numFmtId="0" fontId="16" fillId="37" borderId="39" xfId="0" applyFont="1" applyFill="1" applyBorder="1" applyAlignment="1">
      <alignment vertical="top"/>
    </xf>
    <xf numFmtId="0" fontId="0" fillId="0" borderId="0" xfId="0" applyBorder="1" applyAlignment="1">
      <alignment vertical="top"/>
    </xf>
    <xf numFmtId="0" fontId="0" fillId="35" borderId="24" xfId="0" applyFill="1" applyBorder="1" applyAlignment="1">
      <alignment vertical="top"/>
    </xf>
    <xf numFmtId="0" fontId="0" fillId="0" borderId="24" xfId="0" applyBorder="1" applyAlignment="1">
      <alignment vertical="top"/>
    </xf>
    <xf numFmtId="0" fontId="0" fillId="34" borderId="24" xfId="0" applyFill="1" applyBorder="1" applyAlignment="1">
      <alignment vertical="top"/>
    </xf>
    <xf numFmtId="0" fontId="0" fillId="0" borderId="41" xfId="0" applyBorder="1" applyAlignment="1">
      <alignment vertical="top"/>
    </xf>
    <xf numFmtId="0" fontId="0" fillId="34" borderId="45" xfId="0" applyFill="1" applyBorder="1" applyAlignment="1">
      <alignment vertical="top"/>
    </xf>
    <xf numFmtId="0" fontId="42" fillId="0" borderId="45" xfId="114" applyFont="1" applyFill="1" applyBorder="1" applyAlignment="1">
      <alignment vertical="top"/>
    </xf>
    <xf numFmtId="0" fontId="42" fillId="0" borderId="41" xfId="114" applyFont="1" applyFill="1" applyBorder="1" applyAlignment="1">
      <alignment horizontal="right" vertical="top"/>
    </xf>
    <xf numFmtId="0" fontId="42" fillId="37" borderId="41" xfId="114" applyFont="1" applyFill="1" applyBorder="1" applyAlignment="1">
      <alignment horizontal="right" vertical="top"/>
    </xf>
    <xf numFmtId="0" fontId="0" fillId="35" borderId="25" xfId="0" applyFill="1" applyBorder="1" applyAlignment="1">
      <alignment vertical="top"/>
    </xf>
    <xf numFmtId="0" fontId="0" fillId="0" borderId="25" xfId="0" applyBorder="1" applyAlignment="1">
      <alignment vertical="top"/>
    </xf>
    <xf numFmtId="0" fontId="0" fillId="34" borderId="25" xfId="0" applyFill="1" applyBorder="1" applyAlignment="1">
      <alignment vertical="top"/>
    </xf>
    <xf numFmtId="0" fontId="0" fillId="0" borderId="42" xfId="0" applyBorder="1" applyAlignment="1">
      <alignment vertical="top"/>
    </xf>
    <xf numFmtId="0" fontId="42" fillId="0" borderId="25" xfId="114" applyFont="1" applyFill="1" applyBorder="1" applyAlignment="1">
      <alignment vertical="top"/>
    </xf>
    <xf numFmtId="0" fontId="42" fillId="0" borderId="42" xfId="114" applyFont="1" applyFill="1" applyBorder="1" applyAlignment="1">
      <alignment horizontal="right" vertical="top"/>
    </xf>
    <xf numFmtId="0" fontId="42" fillId="37" borderId="42" xfId="114" applyFont="1" applyFill="1" applyBorder="1" applyAlignment="1">
      <alignment horizontal="right" vertical="top"/>
    </xf>
    <xf numFmtId="0" fontId="0" fillId="0" borderId="42" xfId="0" applyFill="1" applyBorder="1" applyAlignment="1">
      <alignment vertical="top"/>
    </xf>
    <xf numFmtId="9" fontId="0" fillId="34" borderId="25" xfId="0" applyNumberFormat="1" applyFill="1" applyBorder="1" applyAlignment="1">
      <alignment vertical="top"/>
    </xf>
    <xf numFmtId="0" fontId="0" fillId="34" borderId="0" xfId="0" applyFill="1" applyAlignment="1">
      <alignment vertical="top"/>
    </xf>
    <xf numFmtId="1" fontId="42" fillId="35" borderId="25" xfId="0" applyNumberFormat="1" applyFont="1" applyFill="1" applyBorder="1" applyAlignment="1">
      <alignment vertical="top"/>
    </xf>
    <xf numFmtId="1" fontId="42" fillId="35" borderId="25" xfId="114" applyNumberFormat="1" applyFont="1" applyFill="1" applyBorder="1" applyAlignment="1">
      <alignment vertical="top"/>
    </xf>
    <xf numFmtId="0" fontId="0" fillId="35" borderId="26" xfId="0" applyFill="1" applyBorder="1" applyAlignment="1">
      <alignment vertical="top"/>
    </xf>
    <xf numFmtId="0" fontId="0" fillId="0" borderId="26" xfId="0" applyBorder="1" applyAlignment="1">
      <alignment vertical="top"/>
    </xf>
    <xf numFmtId="0" fontId="0" fillId="34" borderId="26" xfId="0" applyFill="1" applyBorder="1" applyAlignment="1">
      <alignment vertical="top"/>
    </xf>
    <xf numFmtId="0" fontId="0" fillId="0" borderId="43" xfId="0" applyBorder="1" applyAlignment="1">
      <alignment vertical="top"/>
    </xf>
    <xf numFmtId="0" fontId="42" fillId="0" borderId="26" xfId="114" applyFont="1" applyFill="1" applyBorder="1" applyAlignment="1">
      <alignment vertical="top"/>
    </xf>
    <xf numFmtId="0" fontId="42" fillId="0" borderId="43" xfId="114" applyFont="1" applyFill="1" applyBorder="1" applyAlignment="1">
      <alignment horizontal="right" vertical="top"/>
    </xf>
    <xf numFmtId="0" fontId="42" fillId="37" borderId="43" xfId="114" applyFont="1" applyFill="1" applyBorder="1" applyAlignment="1">
      <alignment horizontal="right" vertical="top"/>
    </xf>
    <xf numFmtId="0" fontId="0" fillId="35" borderId="33" xfId="0" applyFill="1" applyBorder="1" applyAlignment="1">
      <alignment vertical="top"/>
    </xf>
    <xf numFmtId="0" fontId="0" fillId="0" borderId="33" xfId="0" applyFill="1" applyBorder="1" applyAlignment="1">
      <alignment vertical="top"/>
    </xf>
    <xf numFmtId="0" fontId="42" fillId="0" borderId="24" xfId="0" applyFont="1" applyBorder="1" applyAlignment="1">
      <alignment vertical="top"/>
    </xf>
    <xf numFmtId="0" fontId="42" fillId="0" borderId="24" xfId="0" applyFont="1" applyFill="1" applyBorder="1" applyAlignment="1">
      <alignment vertical="top"/>
    </xf>
    <xf numFmtId="0" fontId="42" fillId="37" borderId="33" xfId="0" applyFont="1" applyFill="1" applyBorder="1" applyAlignment="1">
      <alignment vertical="top"/>
    </xf>
    <xf numFmtId="0" fontId="0" fillId="35" borderId="34" xfId="0" applyFill="1" applyBorder="1" applyAlignment="1">
      <alignment vertical="top"/>
    </xf>
    <xf numFmtId="0" fontId="0" fillId="0" borderId="34" xfId="0" applyFill="1" applyBorder="1" applyAlignment="1">
      <alignment vertical="top"/>
    </xf>
    <xf numFmtId="0" fontId="42" fillId="0" borderId="25" xfId="0" applyFont="1" applyBorder="1" applyAlignment="1">
      <alignment vertical="top"/>
    </xf>
    <xf numFmtId="0" fontId="42" fillId="0" borderId="25" xfId="0" applyFont="1" applyFill="1" applyBorder="1" applyAlignment="1">
      <alignment vertical="top"/>
    </xf>
    <xf numFmtId="0" fontId="42" fillId="37" borderId="34" xfId="0" applyFont="1" applyFill="1" applyBorder="1" applyAlignment="1">
      <alignment vertical="top"/>
    </xf>
    <xf numFmtId="0" fontId="0" fillId="0" borderId="34" xfId="0" applyBorder="1" applyAlignment="1">
      <alignment vertical="top"/>
    </xf>
    <xf numFmtId="0" fontId="42" fillId="0" borderId="25" xfId="114" applyFont="1" applyFill="1" applyBorder="1" applyAlignment="1">
      <alignment horizontal="right" vertical="top"/>
    </xf>
    <xf numFmtId="0" fontId="42" fillId="37" borderId="34" xfId="114" applyFont="1" applyFill="1" applyBorder="1" applyAlignment="1">
      <alignment horizontal="right" vertical="top"/>
    </xf>
    <xf numFmtId="1" fontId="42" fillId="0" borderId="25" xfId="0" applyNumberFormat="1" applyFont="1" applyBorder="1" applyAlignment="1">
      <alignment vertical="top"/>
    </xf>
    <xf numFmtId="0" fontId="42" fillId="0" borderId="25" xfId="0" applyFont="1" applyFill="1" applyBorder="1" applyAlignment="1">
      <alignment horizontal="right" vertical="top"/>
    </xf>
    <xf numFmtId="0" fontId="42" fillId="37" borderId="34" xfId="0" applyFont="1" applyFill="1" applyBorder="1" applyAlignment="1">
      <alignment horizontal="right" vertical="top"/>
    </xf>
    <xf numFmtId="0" fontId="0" fillId="0" borderId="25" xfId="0" applyFill="1" applyBorder="1" applyAlignment="1">
      <alignment vertical="top"/>
    </xf>
    <xf numFmtId="0" fontId="0" fillId="35" borderId="35" xfId="0" applyFill="1" applyBorder="1" applyAlignment="1">
      <alignment vertical="top"/>
    </xf>
    <xf numFmtId="0" fontId="0" fillId="0" borderId="35" xfId="0" applyBorder="1" applyAlignment="1">
      <alignment vertical="top"/>
    </xf>
    <xf numFmtId="0" fontId="42" fillId="0" borderId="26" xfId="114" applyFont="1" applyFill="1" applyBorder="1" applyAlignment="1">
      <alignment horizontal="right" vertical="top"/>
    </xf>
    <xf numFmtId="0" fontId="42" fillId="37" borderId="35" xfId="114" applyFont="1" applyFill="1" applyBorder="1" applyAlignment="1">
      <alignment horizontal="right" vertical="top"/>
    </xf>
    <xf numFmtId="0" fontId="0" fillId="0" borderId="46" xfId="0" applyBorder="1" applyAlignment="1">
      <alignment vertical="top"/>
    </xf>
    <xf numFmtId="0" fontId="42" fillId="0" borderId="24" xfId="0" applyFont="1" applyFill="1" applyBorder="1" applyAlignment="1">
      <alignment vertical="top" wrapText="1"/>
    </xf>
    <xf numFmtId="0" fontId="42" fillId="0" borderId="41" xfId="114" applyFont="1" applyFill="1" applyBorder="1" applyAlignment="1">
      <alignment vertical="top"/>
    </xf>
    <xf numFmtId="0" fontId="42" fillId="37" borderId="41" xfId="114" applyFont="1" applyFill="1" applyBorder="1" applyAlignment="1">
      <alignment vertical="top"/>
    </xf>
    <xf numFmtId="0" fontId="42" fillId="0" borderId="25" xfId="0" applyFont="1" applyFill="1" applyBorder="1" applyAlignment="1">
      <alignment vertical="top" wrapText="1"/>
    </xf>
    <xf numFmtId="0" fontId="42" fillId="0" borderId="42" xfId="114" applyFont="1" applyFill="1" applyBorder="1" applyAlignment="1">
      <alignment vertical="top"/>
    </xf>
    <xf numFmtId="0" fontId="42" fillId="37" borderId="42" xfId="114" applyFont="1" applyFill="1" applyBorder="1" applyAlignment="1">
      <alignment vertical="top"/>
    </xf>
    <xf numFmtId="0" fontId="42" fillId="0" borderId="42" xfId="0" applyFont="1" applyFill="1" applyBorder="1" applyAlignment="1">
      <alignment vertical="top"/>
    </xf>
    <xf numFmtId="0" fontId="42" fillId="37" borderId="42" xfId="0" applyFont="1" applyFill="1" applyBorder="1" applyAlignment="1">
      <alignment vertical="top"/>
    </xf>
    <xf numFmtId="0" fontId="0" fillId="34" borderId="34" xfId="0" applyFill="1" applyBorder="1" applyAlignment="1">
      <alignment vertical="top"/>
    </xf>
    <xf numFmtId="0" fontId="0" fillId="34" borderId="35" xfId="0" applyFill="1" applyBorder="1" applyAlignment="1">
      <alignment vertical="top"/>
    </xf>
    <xf numFmtId="0" fontId="0" fillId="0" borderId="47" xfId="0" applyBorder="1" applyAlignment="1">
      <alignment vertical="top"/>
    </xf>
    <xf numFmtId="0" fontId="42" fillId="0" borderId="26" xfId="0" applyFont="1" applyFill="1" applyBorder="1" applyAlignment="1">
      <alignment vertical="top" wrapText="1"/>
    </xf>
    <xf numFmtId="0" fontId="42" fillId="0" borderId="43" xfId="114" applyFont="1" applyFill="1" applyBorder="1" applyAlignment="1">
      <alignment vertical="top"/>
    </xf>
    <xf numFmtId="0" fontId="42" fillId="37" borderId="43" xfId="114" applyFont="1" applyFill="1" applyBorder="1" applyAlignment="1">
      <alignment vertical="top"/>
    </xf>
    <xf numFmtId="0" fontId="0" fillId="34" borderId="49" xfId="0" applyFill="1" applyBorder="1" applyAlignment="1">
      <alignment vertical="top"/>
    </xf>
    <xf numFmtId="0" fontId="42" fillId="0" borderId="26" xfId="0" applyFont="1" applyFill="1" applyBorder="1" applyAlignment="1">
      <alignment vertical="top"/>
    </xf>
    <xf numFmtId="0" fontId="42" fillId="0" borderId="43" xfId="0" applyFont="1" applyFill="1" applyBorder="1" applyAlignment="1">
      <alignment vertical="top"/>
    </xf>
    <xf numFmtId="0" fontId="42" fillId="37" borderId="43" xfId="0" applyFont="1" applyFill="1" applyBorder="1" applyAlignment="1">
      <alignment vertical="top"/>
    </xf>
    <xf numFmtId="0" fontId="16" fillId="0" borderId="0" xfId="0" applyFont="1" applyAlignment="1">
      <alignment vertical="top"/>
    </xf>
    <xf numFmtId="11" fontId="42" fillId="35" borderId="25" xfId="0" applyNumberFormat="1" applyFont="1" applyFill="1" applyBorder="1" applyAlignment="1">
      <alignment vertical="top"/>
    </xf>
    <xf numFmtId="11" fontId="42" fillId="35" borderId="25" xfId="114" applyNumberFormat="1" applyFont="1" applyFill="1" applyBorder="1" applyAlignment="1">
      <alignment vertical="top"/>
    </xf>
    <xf numFmtId="0" fontId="45" fillId="0" borderId="51" xfId="0" applyFont="1" applyFill="1" applyBorder="1" applyAlignment="1">
      <alignment horizontal="center" vertical="center" wrapText="1"/>
    </xf>
    <xf numFmtId="0" fontId="45" fillId="0" borderId="53" xfId="0" applyFont="1" applyFill="1" applyBorder="1" applyAlignment="1">
      <alignment horizontal="center" vertical="center" wrapText="1"/>
    </xf>
    <xf numFmtId="0" fontId="45" fillId="0" borderId="51" xfId="0" applyFont="1" applyFill="1" applyBorder="1" applyAlignment="1">
      <alignment horizontal="left" vertical="center" wrapText="1" indent="1"/>
    </xf>
    <xf numFmtId="0" fontId="45" fillId="0" borderId="53" xfId="0" applyFont="1" applyFill="1" applyBorder="1" applyAlignment="1">
      <alignment horizontal="left" vertical="center" wrapText="1" indent="1"/>
    </xf>
    <xf numFmtId="0" fontId="43" fillId="0" borderId="51" xfId="0" applyFont="1" applyFill="1" applyBorder="1" applyAlignment="1">
      <alignment horizontal="left" vertical="top" wrapText="1"/>
    </xf>
    <xf numFmtId="0" fontId="43" fillId="0" borderId="52" xfId="0" applyFont="1" applyFill="1" applyBorder="1" applyAlignment="1">
      <alignment horizontal="left" vertical="top" wrapText="1"/>
    </xf>
    <xf numFmtId="0" fontId="43" fillId="0" borderId="53" xfId="0" applyFont="1" applyFill="1" applyBorder="1" applyAlignment="1">
      <alignment horizontal="left" vertical="top" wrapText="1"/>
    </xf>
    <xf numFmtId="0" fontId="45" fillId="0" borderId="51" xfId="0" applyFont="1" applyFill="1" applyBorder="1" applyAlignment="1">
      <alignment horizontal="left" vertical="center" wrapText="1" indent="5"/>
    </xf>
    <xf numFmtId="0" fontId="45" fillId="0" borderId="53" xfId="0" applyFont="1" applyFill="1" applyBorder="1" applyAlignment="1">
      <alignment horizontal="left" vertical="center" wrapText="1" indent="5"/>
    </xf>
    <xf numFmtId="0" fontId="47" fillId="0" borderId="55" xfId="0" applyFont="1" applyFill="1" applyBorder="1" applyAlignment="1">
      <alignment horizontal="left" vertical="top" wrapText="1"/>
    </xf>
    <xf numFmtId="0" fontId="47" fillId="0" borderId="56" xfId="0" applyFont="1" applyFill="1" applyBorder="1" applyAlignment="1">
      <alignment horizontal="left" vertical="top" wrapText="1"/>
    </xf>
    <xf numFmtId="0" fontId="47" fillId="0" borderId="57" xfId="0" applyFont="1" applyFill="1" applyBorder="1" applyAlignment="1">
      <alignment horizontal="left" vertical="top" wrapText="1"/>
    </xf>
    <xf numFmtId="0" fontId="47" fillId="0" borderId="58" xfId="0" applyFont="1" applyFill="1" applyBorder="1" applyAlignment="1">
      <alignment horizontal="center" vertical="top" wrapText="1"/>
    </xf>
    <xf numFmtId="0" fontId="47" fillId="0" borderId="59" xfId="0" applyFont="1" applyFill="1" applyBorder="1" applyAlignment="1">
      <alignment horizontal="center" vertical="top" wrapText="1"/>
    </xf>
    <xf numFmtId="0" fontId="0" fillId="0" borderId="55" xfId="0" applyFill="1" applyBorder="1" applyAlignment="1">
      <alignment horizontal="left" vertical="top" wrapText="1"/>
    </xf>
    <xf numFmtId="0" fontId="0" fillId="0" borderId="60" xfId="0" applyFill="1" applyBorder="1" applyAlignment="1">
      <alignment horizontal="left" vertical="top" wrapText="1"/>
    </xf>
    <xf numFmtId="0" fontId="0" fillId="0" borderId="57" xfId="0" applyFill="1" applyBorder="1" applyAlignment="1">
      <alignment horizontal="left" vertical="top" wrapText="1"/>
    </xf>
    <xf numFmtId="0" fontId="0" fillId="0" borderId="61" xfId="0" applyFill="1" applyBorder="1" applyAlignment="1">
      <alignment horizontal="left" vertical="top" wrapText="1"/>
    </xf>
    <xf numFmtId="0" fontId="0" fillId="0" borderId="58" xfId="0" applyFill="1" applyBorder="1" applyAlignment="1">
      <alignment horizontal="center" vertical="top" wrapText="1"/>
    </xf>
    <xf numFmtId="0" fontId="0" fillId="0" borderId="59" xfId="0" applyFill="1" applyBorder="1" applyAlignment="1">
      <alignment horizontal="center" vertical="top" wrapText="1"/>
    </xf>
    <xf numFmtId="0" fontId="47" fillId="0" borderId="58" xfId="0" applyFont="1" applyFill="1" applyBorder="1" applyAlignment="1">
      <alignment horizontal="left" vertical="top" wrapText="1"/>
    </xf>
    <xf numFmtId="0" fontId="47" fillId="0" borderId="59" xfId="0" applyFont="1" applyFill="1" applyBorder="1" applyAlignment="1">
      <alignment horizontal="left" vertical="top" wrapText="1"/>
    </xf>
    <xf numFmtId="0" fontId="47" fillId="0" borderId="51" xfId="0" applyFont="1" applyFill="1" applyBorder="1" applyAlignment="1">
      <alignment horizontal="left" vertical="top" wrapText="1" indent="11"/>
    </xf>
    <xf numFmtId="0" fontId="47" fillId="0" borderId="52" xfId="0" applyFont="1" applyFill="1" applyBorder="1" applyAlignment="1">
      <alignment horizontal="left" vertical="top" wrapText="1" indent="11"/>
    </xf>
    <xf numFmtId="0" fontId="47" fillId="0" borderId="53" xfId="0" applyFont="1" applyFill="1" applyBorder="1" applyAlignment="1">
      <alignment horizontal="left" vertical="top" wrapText="1" indent="11"/>
    </xf>
    <xf numFmtId="0" fontId="0" fillId="0" borderId="55" xfId="0" applyFill="1" applyBorder="1" applyAlignment="1">
      <alignment horizontal="left" wrapText="1"/>
    </xf>
    <xf numFmtId="0" fontId="0" fillId="0" borderId="57" xfId="0" applyFill="1" applyBorder="1" applyAlignment="1">
      <alignment horizontal="left" wrapText="1"/>
    </xf>
    <xf numFmtId="0" fontId="47" fillId="0" borderId="60" xfId="0" applyFont="1" applyFill="1" applyBorder="1" applyAlignment="1">
      <alignment horizontal="left" vertical="top" wrapText="1" indent="8"/>
    </xf>
    <xf numFmtId="0" fontId="47" fillId="0" borderId="62" xfId="0" applyFont="1" applyFill="1" applyBorder="1" applyAlignment="1">
      <alignment horizontal="left" vertical="top" wrapText="1" indent="8"/>
    </xf>
    <xf numFmtId="0" fontId="47" fillId="0" borderId="61" xfId="0" applyFont="1" applyFill="1" applyBorder="1" applyAlignment="1">
      <alignment horizontal="left" vertical="top" wrapText="1" indent="8"/>
    </xf>
    <xf numFmtId="0" fontId="0" fillId="0" borderId="56" xfId="0" applyFill="1" applyBorder="1" applyAlignment="1">
      <alignment horizontal="left" vertical="top" wrapText="1"/>
    </xf>
    <xf numFmtId="0" fontId="51" fillId="0" borderId="51" xfId="0" applyFont="1" applyFill="1" applyBorder="1" applyAlignment="1">
      <alignment horizontal="left" vertical="top" wrapText="1"/>
    </xf>
    <xf numFmtId="0" fontId="51" fillId="0" borderId="52" xfId="0" applyFont="1" applyFill="1" applyBorder="1" applyAlignment="1">
      <alignment horizontal="left" vertical="top" wrapText="1"/>
    </xf>
    <xf numFmtId="0" fontId="51" fillId="0" borderId="53" xfId="0" applyFont="1" applyFill="1" applyBorder="1" applyAlignment="1">
      <alignment horizontal="left" vertical="top" wrapText="1"/>
    </xf>
    <xf numFmtId="0" fontId="45" fillId="0" borderId="58" xfId="0" applyFont="1" applyFill="1" applyBorder="1" applyAlignment="1">
      <alignment horizontal="left" wrapText="1"/>
    </xf>
    <xf numFmtId="0" fontId="45" fillId="0" borderId="59" xfId="0" applyFont="1" applyFill="1" applyBorder="1" applyAlignment="1">
      <alignment horizontal="left" wrapText="1"/>
    </xf>
    <xf numFmtId="0" fontId="45" fillId="0" borderId="51" xfId="0" applyFont="1" applyFill="1" applyBorder="1" applyAlignment="1">
      <alignment horizontal="center" vertical="top" wrapText="1"/>
    </xf>
    <xf numFmtId="0" fontId="45" fillId="0" borderId="52" xfId="0" applyFont="1" applyFill="1" applyBorder="1" applyAlignment="1">
      <alignment horizontal="center" vertical="top" wrapText="1"/>
    </xf>
    <xf numFmtId="0" fontId="45" fillId="0" borderId="53" xfId="0" applyFont="1" applyFill="1" applyBorder="1" applyAlignment="1">
      <alignment horizontal="center" vertical="top" wrapText="1"/>
    </xf>
    <xf numFmtId="0" fontId="47" fillId="0" borderId="60" xfId="0" applyFont="1" applyFill="1" applyBorder="1" applyAlignment="1">
      <alignment horizontal="center" vertical="top" wrapText="1"/>
    </xf>
    <xf numFmtId="0" fontId="47" fillId="0" borderId="62" xfId="0" applyFont="1" applyFill="1" applyBorder="1" applyAlignment="1">
      <alignment horizontal="center" vertical="top" wrapText="1"/>
    </xf>
    <xf numFmtId="0" fontId="47" fillId="0" borderId="61" xfId="0" applyFont="1" applyFill="1" applyBorder="1" applyAlignment="1">
      <alignment horizontal="center" vertical="top" wrapText="1"/>
    </xf>
    <xf numFmtId="0" fontId="47" fillId="0" borderId="63" xfId="0" applyFont="1" applyFill="1" applyBorder="1" applyAlignment="1">
      <alignment horizontal="left" vertical="top" wrapText="1" indent="2"/>
    </xf>
    <xf numFmtId="0" fontId="47" fillId="0" borderId="59" xfId="0" applyFont="1" applyFill="1" applyBorder="1" applyAlignment="1">
      <alignment horizontal="left" vertical="top" wrapText="1" indent="2"/>
    </xf>
    <xf numFmtId="0" fontId="0" fillId="0" borderId="63" xfId="0" applyFill="1" applyBorder="1" applyAlignment="1">
      <alignment horizontal="left" vertical="top" wrapText="1"/>
    </xf>
    <xf numFmtId="0" fontId="0" fillId="0" borderId="59" xfId="0" applyFill="1" applyBorder="1" applyAlignment="1">
      <alignment horizontal="left" vertical="top" wrapText="1"/>
    </xf>
    <xf numFmtId="0" fontId="47" fillId="0" borderId="63" xfId="0" applyFont="1" applyFill="1" applyBorder="1" applyAlignment="1">
      <alignment horizontal="center" vertical="top" wrapText="1"/>
    </xf>
    <xf numFmtId="0" fontId="47" fillId="0" borderId="63" xfId="0" applyFont="1" applyFill="1" applyBorder="1" applyAlignment="1">
      <alignment horizontal="left" vertical="top" wrapText="1"/>
    </xf>
    <xf numFmtId="0" fontId="56" fillId="0" borderId="10" xfId="0" applyFont="1" applyBorder="1" applyAlignment="1">
      <alignment horizontal="right" wrapText="1"/>
    </xf>
    <xf numFmtId="0" fontId="0" fillId="33" borderId="18" xfId="0" applyFill="1" applyBorder="1" applyAlignment="1">
      <alignment horizontal="center" vertical="top" wrapText="1"/>
    </xf>
    <xf numFmtId="0" fontId="0" fillId="0" borderId="18" xfId="0" applyBorder="1" applyAlignment="1">
      <alignment horizontal="center" vertical="top" wrapText="1"/>
    </xf>
    <xf numFmtId="0" fontId="0" fillId="33" borderId="15" xfId="0" applyFill="1" applyBorder="1" applyAlignment="1">
      <alignment horizontal="center" vertical="top" wrapText="1"/>
    </xf>
    <xf numFmtId="0" fontId="77" fillId="0" borderId="59" xfId="0" applyFont="1" applyFill="1" applyBorder="1" applyAlignment="1">
      <alignment horizontal="left" vertical="top" wrapText="1"/>
    </xf>
    <xf numFmtId="166" fontId="0" fillId="0" borderId="0" xfId="0" applyNumberFormat="1" applyAlignment="1"/>
    <xf numFmtId="0" fontId="0" fillId="38" borderId="0" xfId="0" applyFill="1" applyAlignment="1">
      <alignment horizontal="right"/>
    </xf>
    <xf numFmtId="11" fontId="0" fillId="38" borderId="0" xfId="0" applyNumberFormat="1" applyFill="1" applyAlignment="1"/>
    <xf numFmtId="11" fontId="0" fillId="38" borderId="0" xfId="0" applyNumberFormat="1" applyFill="1"/>
  </cellXfs>
  <cellStyles count="147">
    <cellStyle name="20% - Accent1 2" xfId="5" xr:uid="{00000000-0005-0000-0000-000000000000}"/>
    <cellStyle name="20% - Accent1 2 2" xfId="6" xr:uid="{00000000-0005-0000-0000-000001000000}"/>
    <cellStyle name="20% - Accent1 3" xfId="7" xr:uid="{00000000-0005-0000-0000-000002000000}"/>
    <cellStyle name="20% - Accent1 4" xfId="8" xr:uid="{00000000-0005-0000-0000-000003000000}"/>
    <cellStyle name="20% - Accent2 2" xfId="9" xr:uid="{00000000-0005-0000-0000-000004000000}"/>
    <cellStyle name="20% - Accent2 2 2" xfId="10" xr:uid="{00000000-0005-0000-0000-000005000000}"/>
    <cellStyle name="20% - Accent2 3" xfId="11" xr:uid="{00000000-0005-0000-0000-000006000000}"/>
    <cellStyle name="20% - Accent2 4" xfId="12" xr:uid="{00000000-0005-0000-0000-000007000000}"/>
    <cellStyle name="20% - Accent3 2" xfId="13" xr:uid="{00000000-0005-0000-0000-000008000000}"/>
    <cellStyle name="20% - Accent3 2 2" xfId="14" xr:uid="{00000000-0005-0000-0000-000009000000}"/>
    <cellStyle name="20% - Accent3 3" xfId="15" xr:uid="{00000000-0005-0000-0000-00000A000000}"/>
    <cellStyle name="20% - Accent3 4" xfId="16" xr:uid="{00000000-0005-0000-0000-00000B000000}"/>
    <cellStyle name="20% - Accent4 2" xfId="17" xr:uid="{00000000-0005-0000-0000-00000C000000}"/>
    <cellStyle name="20% - Accent4 2 2" xfId="18" xr:uid="{00000000-0005-0000-0000-00000D000000}"/>
    <cellStyle name="20% - Accent4 3" xfId="19" xr:uid="{00000000-0005-0000-0000-00000E000000}"/>
    <cellStyle name="20% - Accent4 4" xfId="20" xr:uid="{00000000-0005-0000-0000-00000F000000}"/>
    <cellStyle name="20% - Accent5 2" xfId="21" xr:uid="{00000000-0005-0000-0000-000010000000}"/>
    <cellStyle name="20% - Accent5 2 2" xfId="22" xr:uid="{00000000-0005-0000-0000-000011000000}"/>
    <cellStyle name="20% - Accent5 3" xfId="23" xr:uid="{00000000-0005-0000-0000-000012000000}"/>
    <cellStyle name="20% - Accent5 4" xfId="24" xr:uid="{00000000-0005-0000-0000-000013000000}"/>
    <cellStyle name="20% - Accent6 2" xfId="25" xr:uid="{00000000-0005-0000-0000-000014000000}"/>
    <cellStyle name="20% - Accent6 2 2" xfId="26" xr:uid="{00000000-0005-0000-0000-000015000000}"/>
    <cellStyle name="20% - Accent6 3" xfId="27" xr:uid="{00000000-0005-0000-0000-000016000000}"/>
    <cellStyle name="20% - Accent6 4" xfId="28" xr:uid="{00000000-0005-0000-0000-000017000000}"/>
    <cellStyle name="40% - Accent1 2" xfId="29" xr:uid="{00000000-0005-0000-0000-000018000000}"/>
    <cellStyle name="40% - Accent1 2 2" xfId="30" xr:uid="{00000000-0005-0000-0000-000019000000}"/>
    <cellStyle name="40% - Accent1 3" xfId="31" xr:uid="{00000000-0005-0000-0000-00001A000000}"/>
    <cellStyle name="40% - Accent1 4" xfId="32" xr:uid="{00000000-0005-0000-0000-00001B000000}"/>
    <cellStyle name="40% - Accent2 2" xfId="33" xr:uid="{00000000-0005-0000-0000-00001C000000}"/>
    <cellStyle name="40% - Accent2 2 2" xfId="34" xr:uid="{00000000-0005-0000-0000-00001D000000}"/>
    <cellStyle name="40% - Accent2 3" xfId="35" xr:uid="{00000000-0005-0000-0000-00001E000000}"/>
    <cellStyle name="40% - Accent2 4" xfId="36" xr:uid="{00000000-0005-0000-0000-00001F000000}"/>
    <cellStyle name="40% - Accent3 2" xfId="37" xr:uid="{00000000-0005-0000-0000-000020000000}"/>
    <cellStyle name="40% - Accent3 2 2" xfId="38" xr:uid="{00000000-0005-0000-0000-000021000000}"/>
    <cellStyle name="40% - Accent3 3" xfId="39" xr:uid="{00000000-0005-0000-0000-000022000000}"/>
    <cellStyle name="40% - Accent3 4" xfId="40" xr:uid="{00000000-0005-0000-0000-000023000000}"/>
    <cellStyle name="40% - Accent4 2" xfId="41" xr:uid="{00000000-0005-0000-0000-000024000000}"/>
    <cellStyle name="40% - Accent4 2 2" xfId="42" xr:uid="{00000000-0005-0000-0000-000025000000}"/>
    <cellStyle name="40% - Accent4 3" xfId="43" xr:uid="{00000000-0005-0000-0000-000026000000}"/>
    <cellStyle name="40% - Accent4 4" xfId="44" xr:uid="{00000000-0005-0000-0000-000027000000}"/>
    <cellStyle name="40% - Accent5 2" xfId="45" xr:uid="{00000000-0005-0000-0000-000028000000}"/>
    <cellStyle name="40% - Accent5 2 2" xfId="46" xr:uid="{00000000-0005-0000-0000-000029000000}"/>
    <cellStyle name="40% - Accent5 3" xfId="47" xr:uid="{00000000-0005-0000-0000-00002A000000}"/>
    <cellStyle name="40% - Accent5 4" xfId="48" xr:uid="{00000000-0005-0000-0000-00002B000000}"/>
    <cellStyle name="40% - Accent6 2" xfId="49" xr:uid="{00000000-0005-0000-0000-00002C000000}"/>
    <cellStyle name="40% - Accent6 2 2" xfId="50" xr:uid="{00000000-0005-0000-0000-00002D000000}"/>
    <cellStyle name="40% - Accent6 3" xfId="51" xr:uid="{00000000-0005-0000-0000-00002E000000}"/>
    <cellStyle name="40% - Accent6 4" xfId="52" xr:uid="{00000000-0005-0000-0000-00002F000000}"/>
    <cellStyle name="60% - Accent1 2" xfId="53" xr:uid="{00000000-0005-0000-0000-000030000000}"/>
    <cellStyle name="60% - Accent1 3" xfId="54" xr:uid="{00000000-0005-0000-0000-000031000000}"/>
    <cellStyle name="60% - Accent1 4" xfId="55" xr:uid="{00000000-0005-0000-0000-000032000000}"/>
    <cellStyle name="60% - Accent2 2" xfId="56" xr:uid="{00000000-0005-0000-0000-000033000000}"/>
    <cellStyle name="60% - Accent2 3" xfId="57" xr:uid="{00000000-0005-0000-0000-000034000000}"/>
    <cellStyle name="60% - Accent2 4" xfId="58" xr:uid="{00000000-0005-0000-0000-000035000000}"/>
    <cellStyle name="60% - Accent3 2" xfId="59" xr:uid="{00000000-0005-0000-0000-000036000000}"/>
    <cellStyle name="60% - Accent3 3" xfId="60" xr:uid="{00000000-0005-0000-0000-000037000000}"/>
    <cellStyle name="60% - Accent3 4" xfId="61" xr:uid="{00000000-0005-0000-0000-000038000000}"/>
    <cellStyle name="60% - Accent4 2" xfId="62" xr:uid="{00000000-0005-0000-0000-000039000000}"/>
    <cellStyle name="60% - Accent4 3" xfId="63" xr:uid="{00000000-0005-0000-0000-00003A000000}"/>
    <cellStyle name="60% - Accent4 4" xfId="64" xr:uid="{00000000-0005-0000-0000-00003B000000}"/>
    <cellStyle name="60% - Accent5 2" xfId="65" xr:uid="{00000000-0005-0000-0000-00003C000000}"/>
    <cellStyle name="60% - Accent5 3" xfId="66" xr:uid="{00000000-0005-0000-0000-00003D000000}"/>
    <cellStyle name="60% - Accent5 4" xfId="67" xr:uid="{00000000-0005-0000-0000-00003E000000}"/>
    <cellStyle name="60% - Accent6 2" xfId="68" xr:uid="{00000000-0005-0000-0000-00003F000000}"/>
    <cellStyle name="60% - Accent6 3" xfId="69" xr:uid="{00000000-0005-0000-0000-000040000000}"/>
    <cellStyle name="60% - Accent6 4" xfId="70" xr:uid="{00000000-0005-0000-0000-000041000000}"/>
    <cellStyle name="Accent1 2" xfId="71" xr:uid="{00000000-0005-0000-0000-000042000000}"/>
    <cellStyle name="Accent1 3" xfId="72" xr:uid="{00000000-0005-0000-0000-000043000000}"/>
    <cellStyle name="Accent1 4" xfId="73" xr:uid="{00000000-0005-0000-0000-000044000000}"/>
    <cellStyle name="Accent2 2" xfId="74" xr:uid="{00000000-0005-0000-0000-000045000000}"/>
    <cellStyle name="Accent2 3" xfId="75" xr:uid="{00000000-0005-0000-0000-000046000000}"/>
    <cellStyle name="Accent2 4" xfId="76" xr:uid="{00000000-0005-0000-0000-000047000000}"/>
    <cellStyle name="Accent3 2" xfId="77" xr:uid="{00000000-0005-0000-0000-000048000000}"/>
    <cellStyle name="Accent3 3" xfId="78" xr:uid="{00000000-0005-0000-0000-000049000000}"/>
    <cellStyle name="Accent3 4" xfId="79" xr:uid="{00000000-0005-0000-0000-00004A000000}"/>
    <cellStyle name="Accent4 2" xfId="80" xr:uid="{00000000-0005-0000-0000-00004B000000}"/>
    <cellStyle name="Accent4 3" xfId="81" xr:uid="{00000000-0005-0000-0000-00004C000000}"/>
    <cellStyle name="Accent4 4" xfId="82" xr:uid="{00000000-0005-0000-0000-00004D000000}"/>
    <cellStyle name="Accent5 2" xfId="83" xr:uid="{00000000-0005-0000-0000-00004E000000}"/>
    <cellStyle name="Accent5 3" xfId="84" xr:uid="{00000000-0005-0000-0000-00004F000000}"/>
    <cellStyle name="Accent5 4" xfId="85" xr:uid="{00000000-0005-0000-0000-000050000000}"/>
    <cellStyle name="Accent6 2" xfId="86" xr:uid="{00000000-0005-0000-0000-000051000000}"/>
    <cellStyle name="Accent6 3" xfId="87" xr:uid="{00000000-0005-0000-0000-000052000000}"/>
    <cellStyle name="Accent6 4" xfId="88" xr:uid="{00000000-0005-0000-0000-000053000000}"/>
    <cellStyle name="Bad 2" xfId="89" xr:uid="{00000000-0005-0000-0000-000054000000}"/>
    <cellStyle name="Bad 3" xfId="90" xr:uid="{00000000-0005-0000-0000-000055000000}"/>
    <cellStyle name="Bad 4" xfId="91" xr:uid="{00000000-0005-0000-0000-000056000000}"/>
    <cellStyle name="Calculation 2" xfId="92" xr:uid="{00000000-0005-0000-0000-000057000000}"/>
    <cellStyle name="Calculation 3" xfId="93" xr:uid="{00000000-0005-0000-0000-000058000000}"/>
    <cellStyle name="Calculation 4" xfId="94" xr:uid="{00000000-0005-0000-0000-000059000000}"/>
    <cellStyle name="Check Cell 2" xfId="95" xr:uid="{00000000-0005-0000-0000-00005A000000}"/>
    <cellStyle name="Check Cell 3" xfId="96" xr:uid="{00000000-0005-0000-0000-00005B000000}"/>
    <cellStyle name="Check Cell 4" xfId="97" xr:uid="{00000000-0005-0000-0000-00005C000000}"/>
    <cellStyle name="Comma 2" xfId="98" xr:uid="{00000000-0005-0000-0000-00005D000000}"/>
    <cellStyle name="Comma 2 2" xfId="99" xr:uid="{00000000-0005-0000-0000-00005E000000}"/>
    <cellStyle name="Comma 3" xfId="100" xr:uid="{00000000-0005-0000-0000-00005F000000}"/>
    <cellStyle name="Comma 4" xfId="101" xr:uid="{00000000-0005-0000-0000-000060000000}"/>
    <cellStyle name="Comma 5" xfId="102" xr:uid="{00000000-0005-0000-0000-000061000000}"/>
    <cellStyle name="Explanatory Text 2" xfId="103" xr:uid="{00000000-0005-0000-0000-000062000000}"/>
    <cellStyle name="Explanatory Text 3" xfId="104" xr:uid="{00000000-0005-0000-0000-000063000000}"/>
    <cellStyle name="Explanatory Text 4" xfId="105" xr:uid="{00000000-0005-0000-0000-000064000000}"/>
    <cellStyle name="Followed Hyperlink" xfId="146" builtinId="9" hidden="1"/>
    <cellStyle name="Good 2" xfId="106" xr:uid="{00000000-0005-0000-0000-000066000000}"/>
    <cellStyle name="Good 3" xfId="107" xr:uid="{00000000-0005-0000-0000-000067000000}"/>
    <cellStyle name="Good 4" xfId="108" xr:uid="{00000000-0005-0000-0000-000068000000}"/>
    <cellStyle name="Heading 1" xfId="1" builtinId="16" customBuiltin="1"/>
    <cellStyle name="Heading 1 2" xfId="109" xr:uid="{00000000-0005-0000-0000-00006A000000}"/>
    <cellStyle name="Heading 2" xfId="2" builtinId="17" customBuiltin="1"/>
    <cellStyle name="Heading 2 2" xfId="110" xr:uid="{00000000-0005-0000-0000-00006C000000}"/>
    <cellStyle name="Heading 3" xfId="3" builtinId="18" customBuiltin="1"/>
    <cellStyle name="Heading 3 2" xfId="111" xr:uid="{00000000-0005-0000-0000-00006E000000}"/>
    <cellStyle name="Heading 4" xfId="4" builtinId="19" customBuiltin="1"/>
    <cellStyle name="Heading 4 2" xfId="113" xr:uid="{00000000-0005-0000-0000-000070000000}"/>
    <cellStyle name="Hyperlink" xfId="114" builtinId="8"/>
    <cellStyle name="Input 2" xfId="115" xr:uid="{00000000-0005-0000-0000-000072000000}"/>
    <cellStyle name="Input 3" xfId="116" xr:uid="{00000000-0005-0000-0000-000073000000}"/>
    <cellStyle name="Input 4" xfId="117" xr:uid="{00000000-0005-0000-0000-000074000000}"/>
    <cellStyle name="Linked Cell 2" xfId="118" xr:uid="{00000000-0005-0000-0000-000075000000}"/>
    <cellStyle name="Linked Cell 3" xfId="119" xr:uid="{00000000-0005-0000-0000-000076000000}"/>
    <cellStyle name="Linked Cell 4" xfId="120" xr:uid="{00000000-0005-0000-0000-000077000000}"/>
    <cellStyle name="Neutral 2" xfId="121" xr:uid="{00000000-0005-0000-0000-000078000000}"/>
    <cellStyle name="Neutral 3" xfId="122" xr:uid="{00000000-0005-0000-0000-000079000000}"/>
    <cellStyle name="Neutral 4" xfId="123" xr:uid="{00000000-0005-0000-0000-00007A000000}"/>
    <cellStyle name="Normal" xfId="0" builtinId="0"/>
    <cellStyle name="Normal 2" xfId="124" xr:uid="{00000000-0005-0000-0000-00007C000000}"/>
    <cellStyle name="Normal 3" xfId="125" xr:uid="{00000000-0005-0000-0000-00007D000000}"/>
    <cellStyle name="Normal 4" xfId="126" xr:uid="{00000000-0005-0000-0000-00007E000000}"/>
    <cellStyle name="Normal 5" xfId="127" xr:uid="{00000000-0005-0000-0000-00007F000000}"/>
    <cellStyle name="Normal 6" xfId="112" xr:uid="{00000000-0005-0000-0000-000080000000}"/>
    <cellStyle name="Normal 6 2" xfId="145" xr:uid="{00000000-0005-0000-0000-000081000000}"/>
    <cellStyle name="Note 2" xfId="128" xr:uid="{00000000-0005-0000-0000-000082000000}"/>
    <cellStyle name="Note 2 2" xfId="129" xr:uid="{00000000-0005-0000-0000-000083000000}"/>
    <cellStyle name="Note 3" xfId="130" xr:uid="{00000000-0005-0000-0000-000084000000}"/>
    <cellStyle name="Note 4" xfId="131" xr:uid="{00000000-0005-0000-0000-000085000000}"/>
    <cellStyle name="Output 2" xfId="132" xr:uid="{00000000-0005-0000-0000-000086000000}"/>
    <cellStyle name="Output 3" xfId="133" xr:uid="{00000000-0005-0000-0000-000087000000}"/>
    <cellStyle name="Output 4" xfId="134" xr:uid="{00000000-0005-0000-0000-000088000000}"/>
    <cellStyle name="Percent 2" xfId="135" xr:uid="{00000000-0005-0000-0000-000089000000}"/>
    <cellStyle name="Percent 3" xfId="136" xr:uid="{00000000-0005-0000-0000-00008A000000}"/>
    <cellStyle name="Title 2" xfId="137" xr:uid="{00000000-0005-0000-0000-00008B000000}"/>
    <cellStyle name="Title 3" xfId="138" xr:uid="{00000000-0005-0000-0000-00008C000000}"/>
    <cellStyle name="Total 2" xfId="139" xr:uid="{00000000-0005-0000-0000-00008D000000}"/>
    <cellStyle name="Total 3" xfId="140" xr:uid="{00000000-0005-0000-0000-00008E000000}"/>
    <cellStyle name="Total 4" xfId="141" xr:uid="{00000000-0005-0000-0000-00008F000000}"/>
    <cellStyle name="Warning Text 2" xfId="142" xr:uid="{00000000-0005-0000-0000-000090000000}"/>
    <cellStyle name="Warning Text 3" xfId="143" xr:uid="{00000000-0005-0000-0000-000091000000}"/>
    <cellStyle name="Warning Text 4" xfId="144" xr:uid="{00000000-0005-0000-0000-00009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80FB6B0-F210-4652-8C60-85F7352BB7ED}" type="doc">
      <dgm:prSet loTypeId="urn:microsoft.com/office/officeart/2005/8/layout/StepDownProcess" loCatId="process" qsTypeId="urn:microsoft.com/office/officeart/2005/8/quickstyle/simple1" qsCatId="simple" csTypeId="urn:microsoft.com/office/officeart/2005/8/colors/accent0_3" csCatId="mainScheme" phldr="1"/>
      <dgm:spPr/>
      <dgm:t>
        <a:bodyPr/>
        <a:lstStyle/>
        <a:p>
          <a:endParaRPr lang="en-US"/>
        </a:p>
      </dgm:t>
    </dgm:pt>
    <dgm:pt modelId="{0FC849A9-35D8-4902-89E6-1AAA129A6003}">
      <dgm:prSet phldrT="[Text]" custT="1"/>
      <dgm:spPr/>
      <dgm:t>
        <a:bodyPr/>
        <a:lstStyle/>
        <a:p>
          <a:r>
            <a:rPr lang="en-US" sz="1200"/>
            <a:t>Emission reporting overview</a:t>
          </a:r>
        </a:p>
      </dgm:t>
    </dgm:pt>
    <dgm:pt modelId="{3D68B0C4-6860-4DFA-B696-ABF491E20D63}" type="parTrans" cxnId="{68E41CC1-6C03-4BF7-9648-F594761D9477}">
      <dgm:prSet/>
      <dgm:spPr/>
      <dgm:t>
        <a:bodyPr/>
        <a:lstStyle/>
        <a:p>
          <a:endParaRPr lang="en-US"/>
        </a:p>
      </dgm:t>
    </dgm:pt>
    <dgm:pt modelId="{D4375412-0663-4298-AA08-9B495EDF2569}" type="sibTrans" cxnId="{68E41CC1-6C03-4BF7-9648-F594761D9477}">
      <dgm:prSet/>
      <dgm:spPr/>
      <dgm:t>
        <a:bodyPr/>
        <a:lstStyle/>
        <a:p>
          <a:endParaRPr lang="en-US"/>
        </a:p>
      </dgm:t>
    </dgm:pt>
    <dgm:pt modelId="{953B4EB6-9001-41A2-A15B-397EEC30B0F4}">
      <dgm:prSet phldrT="[Text]" custT="1"/>
      <dgm:spPr/>
      <dgm:t>
        <a:bodyPr/>
        <a:lstStyle/>
        <a:p>
          <a:r>
            <a:rPr lang="en-US" sz="1100"/>
            <a:t> Overview of the order of emission reporting, including links to the needed documents.</a:t>
          </a:r>
        </a:p>
      </dgm:t>
    </dgm:pt>
    <dgm:pt modelId="{C943AA41-91A8-44B7-8B90-70504E03BA40}" type="parTrans" cxnId="{F87CEF0A-C049-41A4-9B66-4790D344A7C4}">
      <dgm:prSet/>
      <dgm:spPr/>
      <dgm:t>
        <a:bodyPr/>
        <a:lstStyle/>
        <a:p>
          <a:endParaRPr lang="en-US"/>
        </a:p>
      </dgm:t>
    </dgm:pt>
    <dgm:pt modelId="{4311A917-9928-4A18-A333-B27CB403CAA3}" type="sibTrans" cxnId="{F87CEF0A-C049-41A4-9B66-4790D344A7C4}">
      <dgm:prSet/>
      <dgm:spPr/>
      <dgm:t>
        <a:bodyPr/>
        <a:lstStyle/>
        <a:p>
          <a:endParaRPr lang="en-US"/>
        </a:p>
      </dgm:t>
    </dgm:pt>
    <dgm:pt modelId="{DA96C6A1-9D94-4B73-A500-0AB9F8C63B65}">
      <dgm:prSet phldrT="[Text]" custT="1"/>
      <dgm:spPr/>
      <dgm:t>
        <a:bodyPr/>
        <a:lstStyle/>
        <a:p>
          <a:r>
            <a:rPr lang="en-US" sz="1200"/>
            <a:t>Reporting scheme </a:t>
          </a:r>
          <a:r>
            <a:rPr lang="en-US" sz="1000"/>
            <a:t>(in combination with factor tables</a:t>
          </a:r>
          <a:r>
            <a:rPr lang="en-US" sz="1200"/>
            <a:t>)</a:t>
          </a:r>
        </a:p>
      </dgm:t>
    </dgm:pt>
    <dgm:pt modelId="{40BF7F5E-D788-420C-883D-7725C9C20927}" type="parTrans" cxnId="{EC51BD9B-4FBC-47FE-AD77-5E70D6DCDF9B}">
      <dgm:prSet/>
      <dgm:spPr/>
      <dgm:t>
        <a:bodyPr/>
        <a:lstStyle/>
        <a:p>
          <a:endParaRPr lang="en-US"/>
        </a:p>
      </dgm:t>
    </dgm:pt>
    <dgm:pt modelId="{3B819E96-7D5F-497C-9045-34B6F319C1EE}" type="sibTrans" cxnId="{EC51BD9B-4FBC-47FE-AD77-5E70D6DCDF9B}">
      <dgm:prSet/>
      <dgm:spPr/>
      <dgm:t>
        <a:bodyPr/>
        <a:lstStyle/>
        <a:p>
          <a:endParaRPr lang="en-US"/>
        </a:p>
      </dgm:t>
    </dgm:pt>
    <dgm:pt modelId="{AB87E82C-DFBF-4305-81ED-862FE38D2E66}">
      <dgm:prSet phldrT="[Text]" custT="1"/>
      <dgm:spPr/>
      <dgm:t>
        <a:bodyPr/>
        <a:lstStyle/>
        <a:p>
          <a:r>
            <a:rPr lang="en-US" sz="1100"/>
            <a:t> A clear display of the available emission sources, organised in e-MJV categories and the reporting sequence of these emissions  with the needed emission factors. Select the used reporting method, the discription will appear automatically.</a:t>
          </a:r>
        </a:p>
      </dgm:t>
    </dgm:pt>
    <dgm:pt modelId="{83556473-1D75-4B92-8DB8-CA31881314E1}" type="parTrans" cxnId="{9D889599-2232-4B4C-A8BB-D3CE32F74342}">
      <dgm:prSet/>
      <dgm:spPr/>
      <dgm:t>
        <a:bodyPr/>
        <a:lstStyle/>
        <a:p>
          <a:endParaRPr lang="en-US"/>
        </a:p>
      </dgm:t>
    </dgm:pt>
    <dgm:pt modelId="{CD9BFA1C-FB63-4CEC-B3F8-6B332E1A785B}" type="sibTrans" cxnId="{9D889599-2232-4B4C-A8BB-D3CE32F74342}">
      <dgm:prSet/>
      <dgm:spPr/>
      <dgm:t>
        <a:bodyPr/>
        <a:lstStyle/>
        <a:p>
          <a:endParaRPr lang="en-US"/>
        </a:p>
      </dgm:t>
    </dgm:pt>
    <dgm:pt modelId="{E9D92A16-3BD3-4A85-8B5E-9A97CCE0FA83}">
      <dgm:prSet phldrT="[Text]" custT="1"/>
      <dgm:spPr/>
      <dgm:t>
        <a:bodyPr/>
        <a:lstStyle/>
        <a:p>
          <a:r>
            <a:rPr lang="en-US" sz="1200"/>
            <a:t>Implementation</a:t>
          </a:r>
        </a:p>
      </dgm:t>
    </dgm:pt>
    <dgm:pt modelId="{007EB2FE-35E5-4086-8288-075F51771791}" type="parTrans" cxnId="{B4D5160E-B55F-4426-9993-F671F9A1349C}">
      <dgm:prSet/>
      <dgm:spPr/>
      <dgm:t>
        <a:bodyPr/>
        <a:lstStyle/>
        <a:p>
          <a:endParaRPr lang="en-US"/>
        </a:p>
      </dgm:t>
    </dgm:pt>
    <dgm:pt modelId="{D7CC47BB-5BB2-4ED0-881A-2D2B3BBDFBF2}" type="sibTrans" cxnId="{B4D5160E-B55F-4426-9993-F671F9A1349C}">
      <dgm:prSet/>
      <dgm:spPr/>
      <dgm:t>
        <a:bodyPr/>
        <a:lstStyle/>
        <a:p>
          <a:endParaRPr lang="en-US"/>
        </a:p>
      </dgm:t>
    </dgm:pt>
    <dgm:pt modelId="{6DB63EAB-9964-40DF-8EE4-F9615B83E53C}">
      <dgm:prSet phldrT="[Text]" custT="1"/>
      <dgm:spPr/>
      <dgm:t>
        <a:bodyPr/>
        <a:lstStyle/>
        <a:p>
          <a:r>
            <a:rPr lang="en-US" sz="1100"/>
            <a:t> Implementing the emission factors to get an overview and comparison of the emissions between the operators</a:t>
          </a:r>
        </a:p>
      </dgm:t>
    </dgm:pt>
    <dgm:pt modelId="{06C54D04-37AC-49B0-A4CF-672181925655}" type="parTrans" cxnId="{48366145-FFE4-4B6A-8E09-7E6D655FB457}">
      <dgm:prSet/>
      <dgm:spPr/>
      <dgm:t>
        <a:bodyPr/>
        <a:lstStyle/>
        <a:p>
          <a:endParaRPr lang="en-US"/>
        </a:p>
      </dgm:t>
    </dgm:pt>
    <dgm:pt modelId="{30711902-370A-4363-A511-D24E679965DB}" type="sibTrans" cxnId="{48366145-FFE4-4B6A-8E09-7E6D655FB457}">
      <dgm:prSet/>
      <dgm:spPr/>
      <dgm:t>
        <a:bodyPr/>
        <a:lstStyle/>
        <a:p>
          <a:endParaRPr lang="en-US"/>
        </a:p>
      </dgm:t>
    </dgm:pt>
    <dgm:pt modelId="{44283490-03E7-4ED5-B422-073528E39FEC}" type="pres">
      <dgm:prSet presAssocID="{180FB6B0-F210-4652-8C60-85F7352BB7ED}" presName="rootnode" presStyleCnt="0">
        <dgm:presLayoutVars>
          <dgm:chMax/>
          <dgm:chPref/>
          <dgm:dir/>
          <dgm:animLvl val="lvl"/>
        </dgm:presLayoutVars>
      </dgm:prSet>
      <dgm:spPr/>
    </dgm:pt>
    <dgm:pt modelId="{B3920CFE-59D1-4C4C-982C-1D7C6D8A2C50}" type="pres">
      <dgm:prSet presAssocID="{0FC849A9-35D8-4902-89E6-1AAA129A6003}" presName="composite" presStyleCnt="0"/>
      <dgm:spPr/>
    </dgm:pt>
    <dgm:pt modelId="{CEF52BC6-DC92-4AC7-AF9D-CA3AE634EE26}" type="pres">
      <dgm:prSet presAssocID="{0FC849A9-35D8-4902-89E6-1AAA129A6003}" presName="bentUpArrow1" presStyleLbl="alignImgPlace1" presStyleIdx="0" presStyleCnt="2"/>
      <dgm:spPr/>
    </dgm:pt>
    <dgm:pt modelId="{8278254C-DAA0-47C8-BACE-C6C5AFBBF124}" type="pres">
      <dgm:prSet presAssocID="{0FC849A9-35D8-4902-89E6-1AAA129A6003}" presName="ParentText" presStyleLbl="node1" presStyleIdx="0" presStyleCnt="3" custScaleX="115163" custLinFactNeighborX="798" custLinFactNeighborY="3820">
        <dgm:presLayoutVars>
          <dgm:chMax val="1"/>
          <dgm:chPref val="1"/>
          <dgm:bulletEnabled val="1"/>
        </dgm:presLayoutVars>
      </dgm:prSet>
      <dgm:spPr/>
    </dgm:pt>
    <dgm:pt modelId="{4EAFF736-C0A2-4A77-A244-3BDA5BCE9BA2}" type="pres">
      <dgm:prSet presAssocID="{0FC849A9-35D8-4902-89E6-1AAA129A6003}" presName="ChildText" presStyleLbl="revTx" presStyleIdx="0" presStyleCnt="3" custScaleX="389159" custLinFactX="55117" custLinFactNeighborX="100000" custLinFactNeighborY="1646">
        <dgm:presLayoutVars>
          <dgm:chMax val="0"/>
          <dgm:chPref val="0"/>
          <dgm:bulletEnabled val="1"/>
        </dgm:presLayoutVars>
      </dgm:prSet>
      <dgm:spPr/>
    </dgm:pt>
    <dgm:pt modelId="{F1E768CE-F490-4BD6-A9C8-DDE77B3A8AA6}" type="pres">
      <dgm:prSet presAssocID="{D4375412-0663-4298-AA08-9B495EDF2569}" presName="sibTrans" presStyleCnt="0"/>
      <dgm:spPr/>
    </dgm:pt>
    <dgm:pt modelId="{72D1BFF9-7B1D-4A80-9DA3-73AD4F87CC0D}" type="pres">
      <dgm:prSet presAssocID="{DA96C6A1-9D94-4B73-A500-0AB9F8C63B65}" presName="composite" presStyleCnt="0"/>
      <dgm:spPr/>
    </dgm:pt>
    <dgm:pt modelId="{A61B316D-D71B-45F6-B9A2-6D6099BFC012}" type="pres">
      <dgm:prSet presAssocID="{DA96C6A1-9D94-4B73-A500-0AB9F8C63B65}" presName="bentUpArrow1" presStyleLbl="alignImgPlace1" presStyleIdx="1" presStyleCnt="2"/>
      <dgm:spPr/>
    </dgm:pt>
    <dgm:pt modelId="{0400C8D6-E8EB-4097-84AC-EBF2C65C2881}" type="pres">
      <dgm:prSet presAssocID="{DA96C6A1-9D94-4B73-A500-0AB9F8C63B65}" presName="ParentText" presStyleLbl="node1" presStyleIdx="1" presStyleCnt="3" custScaleX="119341" custLinFactNeighborX="-48692" custLinFactNeighborY="-3421">
        <dgm:presLayoutVars>
          <dgm:chMax val="1"/>
          <dgm:chPref val="1"/>
          <dgm:bulletEnabled val="1"/>
        </dgm:presLayoutVars>
      </dgm:prSet>
      <dgm:spPr/>
    </dgm:pt>
    <dgm:pt modelId="{EF334513-4917-4151-A9B0-1210EEAA6EEC}" type="pres">
      <dgm:prSet presAssocID="{DA96C6A1-9D94-4B73-A500-0AB9F8C63B65}" presName="ChildText" presStyleLbl="revTx" presStyleIdx="1" presStyleCnt="3" custScaleX="350284" custLinFactNeighborX="74480" custLinFactNeighborY="3207">
        <dgm:presLayoutVars>
          <dgm:chMax val="0"/>
          <dgm:chPref val="0"/>
          <dgm:bulletEnabled val="1"/>
        </dgm:presLayoutVars>
      </dgm:prSet>
      <dgm:spPr/>
    </dgm:pt>
    <dgm:pt modelId="{51ED51FF-8B67-42D9-BA94-B26CA8CF776A}" type="pres">
      <dgm:prSet presAssocID="{3B819E96-7D5F-497C-9045-34B6F319C1EE}" presName="sibTrans" presStyleCnt="0"/>
      <dgm:spPr/>
    </dgm:pt>
    <dgm:pt modelId="{1A7450B6-09AD-4253-95B3-7276F5A70B94}" type="pres">
      <dgm:prSet presAssocID="{E9D92A16-3BD3-4A85-8B5E-9A97CCE0FA83}" presName="composite" presStyleCnt="0"/>
      <dgm:spPr/>
    </dgm:pt>
    <dgm:pt modelId="{E65AC53A-C4FE-4B0A-B963-5F428E19D1F2}" type="pres">
      <dgm:prSet presAssocID="{E9D92A16-3BD3-4A85-8B5E-9A97CCE0FA83}" presName="ParentText" presStyleLbl="node1" presStyleIdx="2" presStyleCnt="3" custLinFactNeighborX="-44700" custLinFactNeighborY="741">
        <dgm:presLayoutVars>
          <dgm:chMax val="1"/>
          <dgm:chPref val="1"/>
          <dgm:bulletEnabled val="1"/>
        </dgm:presLayoutVars>
      </dgm:prSet>
      <dgm:spPr/>
    </dgm:pt>
    <dgm:pt modelId="{04FAB035-E207-4F48-96E3-0EBCD5510C83}" type="pres">
      <dgm:prSet presAssocID="{E9D92A16-3BD3-4A85-8B5E-9A97CCE0FA83}" presName="FinalChildText" presStyleLbl="revTx" presStyleIdx="2" presStyleCnt="3" custScaleX="306651" custLinFactNeighborX="42803" custLinFactNeighborY="9877">
        <dgm:presLayoutVars>
          <dgm:chMax val="0"/>
          <dgm:chPref val="0"/>
          <dgm:bulletEnabled val="1"/>
        </dgm:presLayoutVars>
      </dgm:prSet>
      <dgm:spPr/>
    </dgm:pt>
  </dgm:ptLst>
  <dgm:cxnLst>
    <dgm:cxn modelId="{B9962606-5A88-4177-B94B-2B2798BDDC95}" type="presOf" srcId="{953B4EB6-9001-41A2-A15B-397EEC30B0F4}" destId="{4EAFF736-C0A2-4A77-A244-3BDA5BCE9BA2}" srcOrd="0" destOrd="0" presId="urn:microsoft.com/office/officeart/2005/8/layout/StepDownProcess"/>
    <dgm:cxn modelId="{F87CEF0A-C049-41A4-9B66-4790D344A7C4}" srcId="{0FC849A9-35D8-4902-89E6-1AAA129A6003}" destId="{953B4EB6-9001-41A2-A15B-397EEC30B0F4}" srcOrd="0" destOrd="0" parTransId="{C943AA41-91A8-44B7-8B90-70504E03BA40}" sibTransId="{4311A917-9928-4A18-A333-B27CB403CAA3}"/>
    <dgm:cxn modelId="{B4D5160E-B55F-4426-9993-F671F9A1349C}" srcId="{180FB6B0-F210-4652-8C60-85F7352BB7ED}" destId="{E9D92A16-3BD3-4A85-8B5E-9A97CCE0FA83}" srcOrd="2" destOrd="0" parTransId="{007EB2FE-35E5-4086-8288-075F51771791}" sibTransId="{D7CC47BB-5BB2-4ED0-881A-2D2B3BBDFBF2}"/>
    <dgm:cxn modelId="{3BDEE411-6145-46B1-A775-7850886C541F}" type="presOf" srcId="{DA96C6A1-9D94-4B73-A500-0AB9F8C63B65}" destId="{0400C8D6-E8EB-4097-84AC-EBF2C65C2881}" srcOrd="0" destOrd="0" presId="urn:microsoft.com/office/officeart/2005/8/layout/StepDownProcess"/>
    <dgm:cxn modelId="{712B4525-4EBA-4875-8AEA-97DA3E0C9607}" type="presOf" srcId="{180FB6B0-F210-4652-8C60-85F7352BB7ED}" destId="{44283490-03E7-4ED5-B422-073528E39FEC}" srcOrd="0" destOrd="0" presId="urn:microsoft.com/office/officeart/2005/8/layout/StepDownProcess"/>
    <dgm:cxn modelId="{6CB3B43E-0B8A-4281-B1AA-711B081C468E}" type="presOf" srcId="{6DB63EAB-9964-40DF-8EE4-F9615B83E53C}" destId="{04FAB035-E207-4F48-96E3-0EBCD5510C83}" srcOrd="0" destOrd="0" presId="urn:microsoft.com/office/officeart/2005/8/layout/StepDownProcess"/>
    <dgm:cxn modelId="{48366145-FFE4-4B6A-8E09-7E6D655FB457}" srcId="{E9D92A16-3BD3-4A85-8B5E-9A97CCE0FA83}" destId="{6DB63EAB-9964-40DF-8EE4-F9615B83E53C}" srcOrd="0" destOrd="0" parTransId="{06C54D04-37AC-49B0-A4CF-672181925655}" sibTransId="{30711902-370A-4363-A511-D24E679965DB}"/>
    <dgm:cxn modelId="{AC80C983-4CEA-4904-9F73-61FF0AB28074}" type="presOf" srcId="{AB87E82C-DFBF-4305-81ED-862FE38D2E66}" destId="{EF334513-4917-4151-A9B0-1210EEAA6EEC}" srcOrd="0" destOrd="0" presId="urn:microsoft.com/office/officeart/2005/8/layout/StepDownProcess"/>
    <dgm:cxn modelId="{9D889599-2232-4B4C-A8BB-D3CE32F74342}" srcId="{DA96C6A1-9D94-4B73-A500-0AB9F8C63B65}" destId="{AB87E82C-DFBF-4305-81ED-862FE38D2E66}" srcOrd="0" destOrd="0" parTransId="{83556473-1D75-4B92-8DB8-CA31881314E1}" sibTransId="{CD9BFA1C-FB63-4CEC-B3F8-6B332E1A785B}"/>
    <dgm:cxn modelId="{EC51BD9B-4FBC-47FE-AD77-5E70D6DCDF9B}" srcId="{180FB6B0-F210-4652-8C60-85F7352BB7ED}" destId="{DA96C6A1-9D94-4B73-A500-0AB9F8C63B65}" srcOrd="1" destOrd="0" parTransId="{40BF7F5E-D788-420C-883D-7725C9C20927}" sibTransId="{3B819E96-7D5F-497C-9045-34B6F319C1EE}"/>
    <dgm:cxn modelId="{68E41CC1-6C03-4BF7-9648-F594761D9477}" srcId="{180FB6B0-F210-4652-8C60-85F7352BB7ED}" destId="{0FC849A9-35D8-4902-89E6-1AAA129A6003}" srcOrd="0" destOrd="0" parTransId="{3D68B0C4-6860-4DFA-B696-ABF491E20D63}" sibTransId="{D4375412-0663-4298-AA08-9B495EDF2569}"/>
    <dgm:cxn modelId="{1BC84ADA-58F1-4AED-B09A-939F0594A29F}" type="presOf" srcId="{E9D92A16-3BD3-4A85-8B5E-9A97CCE0FA83}" destId="{E65AC53A-C4FE-4B0A-B963-5F428E19D1F2}" srcOrd="0" destOrd="0" presId="urn:microsoft.com/office/officeart/2005/8/layout/StepDownProcess"/>
    <dgm:cxn modelId="{725462DB-F9A7-479F-897F-9357BABF9C03}" type="presOf" srcId="{0FC849A9-35D8-4902-89E6-1AAA129A6003}" destId="{8278254C-DAA0-47C8-BACE-C6C5AFBBF124}" srcOrd="0" destOrd="0" presId="urn:microsoft.com/office/officeart/2005/8/layout/StepDownProcess"/>
    <dgm:cxn modelId="{69E61241-6CBC-477A-9D97-44E4C9C3F837}" type="presParOf" srcId="{44283490-03E7-4ED5-B422-073528E39FEC}" destId="{B3920CFE-59D1-4C4C-982C-1D7C6D8A2C50}" srcOrd="0" destOrd="0" presId="urn:microsoft.com/office/officeart/2005/8/layout/StepDownProcess"/>
    <dgm:cxn modelId="{DC438C0C-DF59-48D4-9CC3-10334EF137EB}" type="presParOf" srcId="{B3920CFE-59D1-4C4C-982C-1D7C6D8A2C50}" destId="{CEF52BC6-DC92-4AC7-AF9D-CA3AE634EE26}" srcOrd="0" destOrd="0" presId="urn:microsoft.com/office/officeart/2005/8/layout/StepDownProcess"/>
    <dgm:cxn modelId="{687BBDE9-F849-4212-BD81-8AA22940C93F}" type="presParOf" srcId="{B3920CFE-59D1-4C4C-982C-1D7C6D8A2C50}" destId="{8278254C-DAA0-47C8-BACE-C6C5AFBBF124}" srcOrd="1" destOrd="0" presId="urn:microsoft.com/office/officeart/2005/8/layout/StepDownProcess"/>
    <dgm:cxn modelId="{4107AA48-9A88-4653-A7A6-BE3D909144A7}" type="presParOf" srcId="{B3920CFE-59D1-4C4C-982C-1D7C6D8A2C50}" destId="{4EAFF736-C0A2-4A77-A244-3BDA5BCE9BA2}" srcOrd="2" destOrd="0" presId="urn:microsoft.com/office/officeart/2005/8/layout/StepDownProcess"/>
    <dgm:cxn modelId="{2E3928A6-5E88-4682-A63D-2982C9A792AB}" type="presParOf" srcId="{44283490-03E7-4ED5-B422-073528E39FEC}" destId="{F1E768CE-F490-4BD6-A9C8-DDE77B3A8AA6}" srcOrd="1" destOrd="0" presId="urn:microsoft.com/office/officeart/2005/8/layout/StepDownProcess"/>
    <dgm:cxn modelId="{2E7A9344-6CBC-417B-ABB7-46877559F540}" type="presParOf" srcId="{44283490-03E7-4ED5-B422-073528E39FEC}" destId="{72D1BFF9-7B1D-4A80-9DA3-73AD4F87CC0D}" srcOrd="2" destOrd="0" presId="urn:microsoft.com/office/officeart/2005/8/layout/StepDownProcess"/>
    <dgm:cxn modelId="{3AAF6E36-0B0E-4F3E-92D5-65D38717FF99}" type="presParOf" srcId="{72D1BFF9-7B1D-4A80-9DA3-73AD4F87CC0D}" destId="{A61B316D-D71B-45F6-B9A2-6D6099BFC012}" srcOrd="0" destOrd="0" presId="urn:microsoft.com/office/officeart/2005/8/layout/StepDownProcess"/>
    <dgm:cxn modelId="{BC0E9AAF-0B35-4A44-9287-2EC31929273E}" type="presParOf" srcId="{72D1BFF9-7B1D-4A80-9DA3-73AD4F87CC0D}" destId="{0400C8D6-E8EB-4097-84AC-EBF2C65C2881}" srcOrd="1" destOrd="0" presId="urn:microsoft.com/office/officeart/2005/8/layout/StepDownProcess"/>
    <dgm:cxn modelId="{4A6C6B4D-1D80-4D74-AA72-BC7F97BE6FBF}" type="presParOf" srcId="{72D1BFF9-7B1D-4A80-9DA3-73AD4F87CC0D}" destId="{EF334513-4917-4151-A9B0-1210EEAA6EEC}" srcOrd="2" destOrd="0" presId="urn:microsoft.com/office/officeart/2005/8/layout/StepDownProcess"/>
    <dgm:cxn modelId="{F33AD77B-6D76-4E91-834F-C7456C7B15B1}" type="presParOf" srcId="{44283490-03E7-4ED5-B422-073528E39FEC}" destId="{51ED51FF-8B67-42D9-BA94-B26CA8CF776A}" srcOrd="3" destOrd="0" presId="urn:microsoft.com/office/officeart/2005/8/layout/StepDownProcess"/>
    <dgm:cxn modelId="{9152EC18-24FA-4283-8B7B-6C8DE22F97DE}" type="presParOf" srcId="{44283490-03E7-4ED5-B422-073528E39FEC}" destId="{1A7450B6-09AD-4253-95B3-7276F5A70B94}" srcOrd="4" destOrd="0" presId="urn:microsoft.com/office/officeart/2005/8/layout/StepDownProcess"/>
    <dgm:cxn modelId="{3C51D338-7ECC-4460-A8AB-B37835FFDAA1}" type="presParOf" srcId="{1A7450B6-09AD-4253-95B3-7276F5A70B94}" destId="{E65AC53A-C4FE-4B0A-B963-5F428E19D1F2}" srcOrd="0" destOrd="0" presId="urn:microsoft.com/office/officeart/2005/8/layout/StepDownProcess"/>
    <dgm:cxn modelId="{0FE4DFDC-1259-42D9-9C30-1E3016023438}" type="presParOf" srcId="{1A7450B6-09AD-4253-95B3-7276F5A70B94}" destId="{04FAB035-E207-4F48-96E3-0EBCD5510C83}" srcOrd="1" destOrd="0" presId="urn:microsoft.com/office/officeart/2005/8/layout/StepDownProcess"/>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CEF52BC6-DC92-4AC7-AF9D-CA3AE634EE26}">
      <dsp:nvSpPr>
        <dsp:cNvPr id="0" name=""/>
        <dsp:cNvSpPr/>
      </dsp:nvSpPr>
      <dsp:spPr>
        <a:xfrm rot="5400000">
          <a:off x="2577001" y="801478"/>
          <a:ext cx="708838" cy="806987"/>
        </a:xfrm>
        <a:prstGeom prst="bentUpArrow">
          <a:avLst>
            <a:gd name="adj1" fmla="val 32840"/>
            <a:gd name="adj2" fmla="val 25000"/>
            <a:gd name="adj3" fmla="val 35780"/>
          </a:avLst>
        </a:prstGeom>
        <a:solidFill>
          <a:schemeClr val="dk2">
            <a:tint val="50000"/>
            <a:hueOff val="0"/>
            <a:satOff val="0"/>
            <a:lumOff val="0"/>
            <a:alphaOff val="0"/>
          </a:schemeClr>
        </a:solidFill>
        <a:ln w="25400" cap="flat" cmpd="sng" algn="ctr">
          <a:solidFill>
            <a:schemeClr val="dk2">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278254C-DAA0-47C8-BACE-C6C5AFBBF124}">
      <dsp:nvSpPr>
        <dsp:cNvPr id="0" name=""/>
        <dsp:cNvSpPr/>
      </dsp:nvSpPr>
      <dsp:spPr>
        <a:xfrm>
          <a:off x="2308257" y="47623"/>
          <a:ext cx="1374201" cy="835248"/>
        </a:xfrm>
        <a:prstGeom prst="roundRect">
          <a:avLst>
            <a:gd name="adj" fmla="val 16670"/>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t>Emission reporting overview</a:t>
          </a:r>
        </a:p>
      </dsp:txBody>
      <dsp:txXfrm>
        <a:off x="2349038" y="88404"/>
        <a:ext cx="1292639" cy="753686"/>
      </dsp:txXfrm>
    </dsp:sp>
    <dsp:sp modelId="{4EAFF736-C0A2-4A77-A244-3BDA5BCE9BA2}">
      <dsp:nvSpPr>
        <dsp:cNvPr id="0" name=""/>
        <dsp:cNvSpPr/>
      </dsp:nvSpPr>
      <dsp:spPr>
        <a:xfrm>
          <a:off x="3673921" y="106488"/>
          <a:ext cx="3377388" cy="67508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US" sz="1100" kern="1200"/>
            <a:t> Overview of the order of emission reporting, including links to the needed documents.</a:t>
          </a:r>
        </a:p>
      </dsp:txBody>
      <dsp:txXfrm>
        <a:off x="3673921" y="106488"/>
        <a:ext cx="3377388" cy="675084"/>
      </dsp:txXfrm>
    </dsp:sp>
    <dsp:sp modelId="{A61B316D-D71B-45F6-B9A2-6D6099BFC012}">
      <dsp:nvSpPr>
        <dsp:cNvPr id="0" name=""/>
        <dsp:cNvSpPr/>
      </dsp:nvSpPr>
      <dsp:spPr>
        <a:xfrm rot="5400000">
          <a:off x="4236983" y="1739737"/>
          <a:ext cx="708838" cy="806987"/>
        </a:xfrm>
        <a:prstGeom prst="bentUpArrow">
          <a:avLst>
            <a:gd name="adj1" fmla="val 32840"/>
            <a:gd name="adj2" fmla="val 25000"/>
            <a:gd name="adj3" fmla="val 35780"/>
          </a:avLst>
        </a:prstGeom>
        <a:solidFill>
          <a:schemeClr val="dk2">
            <a:tint val="50000"/>
            <a:hueOff val="0"/>
            <a:satOff val="0"/>
            <a:lumOff val="0"/>
            <a:alphaOff val="0"/>
          </a:schemeClr>
        </a:solidFill>
        <a:ln w="25400" cap="flat" cmpd="sng" algn="ctr">
          <a:solidFill>
            <a:schemeClr val="dk2">
              <a:shade val="8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0400C8D6-E8EB-4097-84AC-EBF2C65C2881}">
      <dsp:nvSpPr>
        <dsp:cNvPr id="0" name=""/>
        <dsp:cNvSpPr/>
      </dsp:nvSpPr>
      <dsp:spPr>
        <a:xfrm>
          <a:off x="3352763" y="925402"/>
          <a:ext cx="1424056" cy="835248"/>
        </a:xfrm>
        <a:prstGeom prst="roundRect">
          <a:avLst>
            <a:gd name="adj" fmla="val 16670"/>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t>Reporting scheme </a:t>
          </a:r>
          <a:r>
            <a:rPr lang="en-US" sz="1000" kern="1200"/>
            <a:t>(in combination with factor tables</a:t>
          </a:r>
          <a:r>
            <a:rPr lang="en-US" sz="1200" kern="1200"/>
            <a:t>)</a:t>
          </a:r>
        </a:p>
      </dsp:txBody>
      <dsp:txXfrm>
        <a:off x="3393544" y="966183"/>
        <a:ext cx="1342494" cy="753686"/>
      </dsp:txXfrm>
    </dsp:sp>
    <dsp:sp modelId="{EF334513-4917-4151-A9B0-1210EEAA6EEC}">
      <dsp:nvSpPr>
        <dsp:cNvPr id="0" name=""/>
        <dsp:cNvSpPr/>
      </dsp:nvSpPr>
      <dsp:spPr>
        <a:xfrm>
          <a:off x="4802771" y="1055285"/>
          <a:ext cx="3040005" cy="67508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US" sz="1100" kern="1200"/>
            <a:t> A clear display of the available emission sources, organised in e-MJV categories and the reporting sequence of these emissions  with the needed emission factors. Select the used reporting method, the discription will appear automatically.</a:t>
          </a:r>
        </a:p>
      </dsp:txBody>
      <dsp:txXfrm>
        <a:off x="4802771" y="1055285"/>
        <a:ext cx="3040005" cy="675084"/>
      </dsp:txXfrm>
    </dsp:sp>
    <dsp:sp modelId="{E65AC53A-C4FE-4B0A-B963-5F428E19D1F2}">
      <dsp:nvSpPr>
        <dsp:cNvPr id="0" name=""/>
        <dsp:cNvSpPr/>
      </dsp:nvSpPr>
      <dsp:spPr>
        <a:xfrm>
          <a:off x="5035453" y="1898424"/>
          <a:ext cx="1193266" cy="835248"/>
        </a:xfrm>
        <a:prstGeom prst="roundRect">
          <a:avLst>
            <a:gd name="adj" fmla="val 16670"/>
          </a:avLst>
        </a:prstGeom>
        <a:solidFill>
          <a:schemeClr val="dk2">
            <a:hueOff val="0"/>
            <a:satOff val="0"/>
            <a:lumOff val="0"/>
            <a:alphaOff val="0"/>
          </a:schemeClr>
        </a:solidFill>
        <a:ln w="25400" cap="flat" cmpd="sng" algn="ctr">
          <a:solidFill>
            <a:schemeClr val="lt2">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45720" rIns="45720" bIns="45720" numCol="1" spcCol="1270" anchor="ctr" anchorCtr="0">
          <a:noAutofit/>
        </a:bodyPr>
        <a:lstStyle/>
        <a:p>
          <a:pPr marL="0" lvl="0" indent="0" algn="ctr" defTabSz="533400">
            <a:lnSpc>
              <a:spcPct val="90000"/>
            </a:lnSpc>
            <a:spcBef>
              <a:spcPct val="0"/>
            </a:spcBef>
            <a:spcAft>
              <a:spcPct val="35000"/>
            </a:spcAft>
            <a:buNone/>
          </a:pPr>
          <a:r>
            <a:rPr lang="en-US" sz="1200" kern="1200"/>
            <a:t>Implementation</a:t>
          </a:r>
        </a:p>
      </dsp:txBody>
      <dsp:txXfrm>
        <a:off x="5076234" y="1939205"/>
        <a:ext cx="1111704" cy="753686"/>
      </dsp:txXfrm>
    </dsp:sp>
    <dsp:sp modelId="{04FAB035-E207-4F48-96E3-0EBCD5510C83}">
      <dsp:nvSpPr>
        <dsp:cNvPr id="0" name=""/>
        <dsp:cNvSpPr/>
      </dsp:nvSpPr>
      <dsp:spPr>
        <a:xfrm>
          <a:off x="6236854" y="2038573"/>
          <a:ext cx="2661327" cy="675084"/>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41910" tIns="41910" rIns="41910" bIns="41910" numCol="1" spcCol="1270" anchor="ctr" anchorCtr="0">
          <a:noAutofit/>
        </a:bodyPr>
        <a:lstStyle/>
        <a:p>
          <a:pPr marL="57150" lvl="1" indent="-57150" algn="l" defTabSz="488950">
            <a:lnSpc>
              <a:spcPct val="90000"/>
            </a:lnSpc>
            <a:spcBef>
              <a:spcPct val="0"/>
            </a:spcBef>
            <a:spcAft>
              <a:spcPct val="15000"/>
            </a:spcAft>
            <a:buChar char="•"/>
          </a:pPr>
          <a:r>
            <a:rPr lang="en-US" sz="1100" kern="1200"/>
            <a:t> Implementing the emission factors to get an overview and comparison of the emissions between the operators</a:t>
          </a:r>
        </a:p>
      </dsp:txBody>
      <dsp:txXfrm>
        <a:off x="6236854" y="2038573"/>
        <a:ext cx="2661327" cy="675084"/>
      </dsp:txXfrm>
    </dsp:sp>
  </dsp:spTree>
</dsp:drawing>
</file>

<file path=xl/diagrams/layout1.xml><?xml version="1.0" encoding="utf-8"?>
<dgm:layoutDef xmlns:dgm="http://schemas.openxmlformats.org/drawingml/2006/diagram" xmlns:a="http://schemas.openxmlformats.org/drawingml/2006/main" uniqueId="urn:microsoft.com/office/officeart/2005/8/layout/StepDownProcess">
  <dgm:title val=""/>
  <dgm:desc val=""/>
  <dgm:catLst>
    <dgm:cat type="process" pri="1600"/>
  </dgm:catLst>
  <dgm:sampData>
    <dgm:dataModel>
      <dgm:ptLst>
        <dgm:pt modelId="0" type="doc"/>
        <dgm:pt modelId="10">
          <dgm:prSet phldr="1"/>
        </dgm:pt>
        <dgm:pt modelId="11">
          <dgm:prSet phldr="1"/>
        </dgm:pt>
        <dgm:pt modelId="20">
          <dgm:prSet phldr="1"/>
        </dgm:pt>
        <dgm:pt modelId="21">
          <dgm:prSet phldr="1"/>
        </dgm:pt>
        <dgm:pt modelId="30">
          <dgm:prSet phldr="1"/>
        </dgm:pt>
        <dgm:pt modelId="31">
          <dgm:prSet phldr="1"/>
        </dgm:pt>
      </dgm:ptLst>
      <dgm:cxnLst>
        <dgm:cxn modelId="60" srcId="0" destId="10" srcOrd="0" destOrd="0"/>
        <dgm:cxn modelId="12" srcId="10" destId="11" srcOrd="0" destOrd="0"/>
        <dgm:cxn modelId="70" srcId="0" destId="20" srcOrd="1" destOrd="0"/>
        <dgm:cxn modelId="22" srcId="20" destId="21" srcOrd="0" destOrd="0"/>
        <dgm:cxn modelId="80" srcId="0" destId="30" srcOrd="2" destOrd="0"/>
        <dgm:cxn modelId="32" srcId="30" destId="31" srcOrd="0"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rootnode">
    <dgm:varLst>
      <dgm:chMax/>
      <dgm:chPref/>
      <dgm:dir/>
      <dgm:animLvl val="lvl"/>
    </dgm:varLst>
    <dgm:choose name="Name0">
      <dgm:if name="Name1" func="var" arg="dir" op="equ" val="norm">
        <dgm:alg type="snake">
          <dgm:param type="grDir" val="tL"/>
          <dgm:param type="flowDir" val="row"/>
          <dgm:param type="off" val="off"/>
          <dgm:param type="bkpt" val="fixed"/>
          <dgm:param type="bkPtFixedVal" val="1"/>
        </dgm:alg>
      </dgm:if>
      <dgm:else name="Name2">
        <dgm:alg type="snake">
          <dgm:param type="grDir" val="tR"/>
          <dgm:param type="flowDir" val="row"/>
          <dgm:param type="off" val="off"/>
          <dgm:param type="bkpt" val="fixed"/>
          <dgm:param type="bkPtFixedVal" val="1"/>
        </dgm:alg>
      </dgm:else>
    </dgm:choose>
    <dgm:shape xmlns:r="http://schemas.openxmlformats.org/officeDocument/2006/relationships" r:blip="">
      <dgm:adjLst/>
    </dgm:shape>
    <dgm:choose name="Name3">
      <dgm:if name="Name4" func="var" arg="dir" op="equ" val="norm">
        <dgm:constrLst>
          <dgm:constr type="alignOff" forName="rootnode" val="0.48"/>
          <dgm:constr type="primFontSz" for="des" forName="ParentText" val="65"/>
          <dgm:constr type="primFontSz" for="des" forName="ChildText" refType="primFontSz" refFor="des" refForName="ParentText" op="lte"/>
          <dgm:constr type="w" for="ch" forName="composite" refType="w"/>
          <dgm:constr type="h" for="ch" forName="composite" refType="h"/>
          <dgm:constr type="sp" refType="h" refFor="ch" refForName="composite" op="equ" fact="-0.38"/>
        </dgm:constrLst>
      </dgm:if>
      <dgm:else name="Name5">
        <dgm:constrLst>
          <dgm:constr type="alignOff" forName="rootnode" val="0.48"/>
          <dgm:constr type="primFontSz" for="des" forName="ParentText" val="65"/>
          <dgm:constr type="primFontSz" for="des" forName="ChildText" refType="primFontSz" refFor="des" refForName="ParentText" op="lte"/>
          <dgm:constr type="w" for="ch" forName="composite" refType="w"/>
          <dgm:constr type="h" for="ch" forName="composite" refType="h"/>
          <dgm:constr type="sp" refType="h" refFor="ch" refForName="composite" op="equ" fact="-0.38"/>
        </dgm:constrLst>
      </dgm:else>
    </dgm:choose>
    <dgm:forEach name="nodesForEach" axis="ch" ptType="node">
      <dgm:layoutNode name="composite">
        <dgm:alg type="composite">
          <dgm:param type="ar" val="1.2439"/>
        </dgm:alg>
        <dgm:shape xmlns:r="http://schemas.openxmlformats.org/officeDocument/2006/relationships" r:blip="">
          <dgm:adjLst/>
        </dgm:shape>
        <dgm:choose name="Name6">
          <dgm:if name="Name7" func="var" arg="dir" op="equ" val="norm">
            <dgm:constrLst>
              <dgm:constr type="l" for="ch" forName="bentUpArrow1" refType="w" fact="0.07"/>
              <dgm:constr type="t" for="ch" forName="bentUpArrow1" refType="h" fact="0.524"/>
              <dgm:constr type="w" for="ch" forName="bentUpArrow1" refType="w" fact="0.3844"/>
              <dgm:constr type="h" for="ch" forName="bentUpArrow1" refType="h" fact="0.42"/>
              <dgm:constr type="l" for="ch" forName="ParentText" refType="w" fact="0"/>
              <dgm:constr type="t" for="ch" forName="ParentText" refType="h" fact="0"/>
              <dgm:constr type="w" for="ch" forName="ParentText" refType="w" fact="0.5684"/>
              <dgm:constr type="h" for="ch" forName="ParentText" refType="h" fact="0.4949"/>
              <dgm:constr type="l" for="ch" forName="ChildText" refType="w" refFor="ch" refForName="ParentText"/>
              <dgm:constr type="t" for="ch" forName="ChildText" refType="h" fact="0.05"/>
              <dgm:constr type="w" for="ch" forName="ChildText" refType="w" fact="0.4134"/>
              <dgm:constr type="h" for="ch" forName="ChildText" refType="h" fact="0.4"/>
              <dgm:constr type="l" for="ch" forName="FinalChildText" refType="w" refFor="ch" refForName="ParentText"/>
              <dgm:constr type="t" for="ch" forName="FinalChildText" refType="h" fact="0.05"/>
              <dgm:constr type="w" for="ch" forName="FinalChildText" refType="w" fact="0.4134"/>
              <dgm:constr type="h" for="ch" forName="FinalChildText" refType="h" fact="0.4"/>
            </dgm:constrLst>
          </dgm:if>
          <dgm:else name="Name8">
            <dgm:constrLst>
              <dgm:constr type="r" for="ch" forName="bentUpArrow1" refType="w" fact="0.97"/>
              <dgm:constr type="t" for="ch" forName="bentUpArrow1" refType="h" fact="0.524"/>
              <dgm:constr type="w" for="ch" forName="bentUpArrow1" refType="w" fact="0.3844"/>
              <dgm:constr type="h" for="ch" forName="bentUpArrow1" refType="h" fact="0.42"/>
              <dgm:constr type="l" for="ch" forName="ParentText" refType="w" fact="0.4316"/>
              <dgm:constr type="t" for="ch" forName="ParentText" refType="h" fact="0"/>
              <dgm:constr type="w" for="ch" forName="ParentText" refType="w" fact="0.5684"/>
              <dgm:constr type="h" for="ch" forName="ParentText" refType="h" fact="0.4949"/>
              <dgm:constr type="l" for="ch" forName="ChildText" refType="w" fact="0"/>
              <dgm:constr type="t" for="ch" forName="ChildText" refType="h" fact="0.05"/>
              <dgm:constr type="w" for="ch" forName="ChildText" refType="w" fact="0.4134"/>
              <dgm:constr type="h" for="ch" forName="ChildText" refType="h" fact="0.4"/>
              <dgm:constr type="l" for="ch" forName="FinalChildText" refType="w" fact="0"/>
              <dgm:constr type="t" for="ch" forName="FinalChildText" refType="h" fact="0.05"/>
              <dgm:constr type="w" for="ch" forName="FinalChildText" refType="w" fact="0.4134"/>
              <dgm:constr type="h" for="ch" forName="FinalChildText" refType="h" fact="0.4"/>
            </dgm:constrLst>
          </dgm:else>
        </dgm:choose>
        <dgm:choose name="Name9">
          <dgm:if name="Name10" axis="followSib" ptType="node" func="cnt" op="gte" val="1">
            <dgm:layoutNode name="bentUpArrow1" styleLbl="alignImgPlace1">
              <dgm:alg type="sp"/>
              <dgm:choose name="Name11">
                <dgm:if name="Name12" func="var" arg="dir" op="equ" val="norm">
                  <dgm:shape xmlns:r="http://schemas.openxmlformats.org/officeDocument/2006/relationships" rot="90" type="bentUpArrow" r:blip="">
                    <dgm:adjLst>
                      <dgm:adj idx="1" val="0.3284"/>
                      <dgm:adj idx="2" val="0.25"/>
                      <dgm:adj idx="3" val="0.3578"/>
                    </dgm:adjLst>
                  </dgm:shape>
                </dgm:if>
                <dgm:else name="Name13">
                  <dgm:shape xmlns:r="http://schemas.openxmlformats.org/officeDocument/2006/relationships" rot="180" type="bentArrow" r:blip="">
                    <dgm:adjLst>
                      <dgm:adj idx="1" val="0.3284"/>
                      <dgm:adj idx="2" val="0.25"/>
                      <dgm:adj idx="3" val="0.3578"/>
                      <dgm:adj idx="4" val="0"/>
                    </dgm:adjLst>
                  </dgm:shape>
                </dgm:else>
              </dgm:choose>
              <dgm:presOf/>
            </dgm:layoutNode>
          </dgm:if>
          <dgm:else name="Name14"/>
        </dgm:choose>
        <dgm:layoutNode name="ParentText" styleLbl="node1">
          <dgm:varLst>
            <dgm:chMax val="1"/>
            <dgm:chPref val="1"/>
            <dgm:bulletEnabled val="1"/>
          </dgm:varLst>
          <dgm:alg type="tx"/>
          <dgm:shape xmlns:r="http://schemas.openxmlformats.org/officeDocument/2006/relationships" type="roundRect" r:blip="">
            <dgm:adjLst>
              <dgm:adj idx="1" val="0.1667"/>
            </dgm:adjLst>
          </dgm:shape>
          <dgm:presOf axis="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choose name="Name15">
          <dgm:if name="Name16" axis="followSib" ptType="node" func="cnt" op="equ" val="0">
            <dgm:choose name="Name17">
              <dgm:if name="Name18" axis="ch" ptType="node" func="cnt" op="gte" val="1">
                <dgm:layoutNode name="FinalChildText" styleLbl="revTx">
                  <dgm:varLst>
                    <dgm:chMax val="0"/>
                    <dgm:chPref val="0"/>
                    <dgm:bulletEnabled val="1"/>
                  </dgm:varLst>
                  <dgm:alg type="tx">
                    <dgm:param type="stBulletLvl" val="1"/>
                    <dgm:param type="txAnchorVertCh" val="mid"/>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9"/>
            </dgm:choose>
          </dgm:if>
          <dgm:else name="Name20">
            <dgm:layoutNode name="ChildText" styleLbl="revTx">
              <dgm:varLst>
                <dgm:chMax val="0"/>
                <dgm:chPref val="0"/>
                <dgm:bulletEnabled val="1"/>
              </dgm:varLst>
              <dgm:alg type="tx">
                <dgm:param type="stBulletLvl" val="1"/>
                <dgm:param type="txAnchorVertCh" val="mid"/>
                <dgm:param type="parTxLTRAlign" val="l"/>
              </dgm:alg>
              <dgm:shape xmlns:r="http://schemas.openxmlformats.org/officeDocument/2006/relationships" type="rect" r:blip="">
                <dgm:adjLst/>
              </dgm:shape>
              <dgm:presOf axis="des"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else>
        </dgm:choos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jpe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0</xdr:rowOff>
    </xdr:from>
    <xdr:to>
      <xdr:col>13</xdr:col>
      <xdr:colOff>214594</xdr:colOff>
      <xdr:row>25</xdr:row>
      <xdr:rowOff>76200</xdr:rowOff>
    </xdr:to>
    <xdr:graphicFrame macro="">
      <xdr:nvGraphicFramePr>
        <xdr:cNvPr id="2" name="Diagram 1">
          <a:extLst>
            <a:ext uri="{FF2B5EF4-FFF2-40B4-BE49-F238E27FC236}">
              <a16:creationId xmlns:a16="http://schemas.microsoft.com/office/drawing/2014/main" id="{2D0CDDCA-716F-4C17-AFA5-B04C49B73D2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14</xdr:col>
      <xdr:colOff>0</xdr:colOff>
      <xdr:row>1</xdr:row>
      <xdr:rowOff>0</xdr:rowOff>
    </xdr:from>
    <xdr:to>
      <xdr:col>16</xdr:col>
      <xdr:colOff>346897</xdr:colOff>
      <xdr:row>4</xdr:row>
      <xdr:rowOff>40005</xdr:rowOff>
    </xdr:to>
    <xdr:grpSp>
      <xdr:nvGrpSpPr>
        <xdr:cNvPr id="3" name="Groep 2">
          <a:extLst>
            <a:ext uri="{FF2B5EF4-FFF2-40B4-BE49-F238E27FC236}">
              <a16:creationId xmlns:a16="http://schemas.microsoft.com/office/drawing/2014/main" id="{E316B654-A455-4673-883C-6DEF133BB613}"/>
            </a:ext>
          </a:extLst>
        </xdr:cNvPr>
        <xdr:cNvGrpSpPr>
          <a:grpSpLocks/>
        </xdr:cNvGrpSpPr>
      </xdr:nvGrpSpPr>
      <xdr:grpSpPr bwMode="auto">
        <a:xfrm>
          <a:off x="11191875" y="190500"/>
          <a:ext cx="1561335" cy="611505"/>
          <a:chOff x="8711" y="764"/>
          <a:chExt cx="2821" cy="1128"/>
        </a:xfrm>
      </xdr:grpSpPr>
      <xdr:pic>
        <xdr:nvPicPr>
          <xdr:cNvPr id="4" name="Afbeelding 10">
            <a:extLst>
              <a:ext uri="{FF2B5EF4-FFF2-40B4-BE49-F238E27FC236}">
                <a16:creationId xmlns:a16="http://schemas.microsoft.com/office/drawing/2014/main" id="{94B2DEB5-85F5-43EF-88CC-EA4185E90467}"/>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795" y="764"/>
            <a:ext cx="2574" cy="69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Tekstvak 13">
            <a:extLst>
              <a:ext uri="{FF2B5EF4-FFF2-40B4-BE49-F238E27FC236}">
                <a16:creationId xmlns:a16="http://schemas.microsoft.com/office/drawing/2014/main" id="{36C8A421-368D-4159-8043-1697096364E8}"/>
              </a:ext>
            </a:extLst>
          </xdr:cNvPr>
          <xdr:cNvSpPr txBox="1">
            <a:spLocks noChangeArrowheads="1"/>
          </xdr:cNvSpPr>
        </xdr:nvSpPr>
        <xdr:spPr bwMode="auto">
          <a:xfrm>
            <a:off x="8711" y="1431"/>
            <a:ext cx="2821" cy="461"/>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lnSpc>
                <a:spcPct val="107000"/>
              </a:lnSpc>
              <a:spcAft>
                <a:spcPts val="800"/>
              </a:spcAft>
            </a:pPr>
            <a:r>
              <a:rPr lang="en-GB" sz="600" cap="all">
                <a:solidFill>
                  <a:srgbClr val="00528D"/>
                </a:solidFill>
                <a:effectLst/>
                <a:latin typeface="Century Gothic"/>
                <a:ea typeface="Calibri"/>
                <a:cs typeface="Calibri"/>
              </a:rPr>
              <a:t>netherlands oil and Gas exploration and production association</a:t>
            </a:r>
            <a:endParaRPr lang="en-US" sz="1100">
              <a:effectLst/>
              <a:latin typeface="Calibri"/>
              <a:ea typeface="Calibri"/>
              <a:cs typeface="Arial"/>
            </a:endParaRPr>
          </a:p>
          <a:p>
            <a:pPr>
              <a:lnSpc>
                <a:spcPct val="107000"/>
              </a:lnSpc>
              <a:spcAft>
                <a:spcPts val="800"/>
              </a:spcAft>
            </a:pPr>
            <a:r>
              <a:rPr lang="en-GB" sz="600" cap="all">
                <a:solidFill>
                  <a:srgbClr val="00528D"/>
                </a:solidFill>
                <a:effectLst/>
                <a:latin typeface="Century Gothic"/>
                <a:ea typeface="Calibri"/>
                <a:cs typeface="Calibri"/>
              </a:rPr>
              <a:t> </a:t>
            </a:r>
            <a:endParaRPr lang="en-US" sz="1100">
              <a:effectLst/>
              <a:latin typeface="Calibri"/>
              <a:ea typeface="Calibri"/>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4357</xdr:rowOff>
    </xdr:from>
    <xdr:ext cx="6387465" cy="6350"/>
    <xdr:grpSp>
      <xdr:nvGrpSpPr>
        <xdr:cNvPr id="42" name="Group 9">
          <a:extLst>
            <a:ext uri="{FF2B5EF4-FFF2-40B4-BE49-F238E27FC236}">
              <a16:creationId xmlns:a16="http://schemas.microsoft.com/office/drawing/2014/main" id="{00000000-0008-0000-0400-00002A000000}"/>
            </a:ext>
          </a:extLst>
        </xdr:cNvPr>
        <xdr:cNvGrpSpPr/>
      </xdr:nvGrpSpPr>
      <xdr:grpSpPr>
        <a:xfrm>
          <a:off x="2695575" y="2118907"/>
          <a:ext cx="6387465" cy="6350"/>
          <a:chOff x="0" y="0"/>
          <a:chExt cx="6387465" cy="6350"/>
        </a:xfrm>
      </xdr:grpSpPr>
      <xdr:pic>
        <xdr:nvPicPr>
          <xdr:cNvPr id="43" name="image7.png">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72411" cy="6096"/>
          </a:xfrm>
          <a:prstGeom prst="rect">
            <a:avLst/>
          </a:prstGeom>
        </xdr:spPr>
      </xdr:pic>
      <xdr:pic>
        <xdr:nvPicPr>
          <xdr:cNvPr id="44" name="image8.png">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1650" y="0"/>
            <a:ext cx="573024" cy="6096"/>
          </a:xfrm>
          <a:prstGeom prst="rect">
            <a:avLst/>
          </a:prstGeom>
        </xdr:spPr>
      </xdr:pic>
      <xdr:pic>
        <xdr:nvPicPr>
          <xdr:cNvPr id="45" name="image9.png">
            <a:extLst>
              <a:ext uri="{FF2B5EF4-FFF2-40B4-BE49-F238E27FC236}">
                <a16:creationId xmlns:a16="http://schemas.microsoft.com/office/drawing/2014/main" id="{00000000-0008-0000-0400-00002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343150" y="0"/>
            <a:ext cx="1773174" cy="6096"/>
          </a:xfrm>
          <a:prstGeom prst="rect">
            <a:avLst/>
          </a:prstGeom>
        </xdr:spPr>
      </xdr:pic>
      <xdr:pic>
        <xdr:nvPicPr>
          <xdr:cNvPr id="46" name="image10.png">
            <a:extLst>
              <a:ext uri="{FF2B5EF4-FFF2-40B4-BE49-F238E27FC236}">
                <a16:creationId xmlns:a16="http://schemas.microsoft.com/office/drawing/2014/main" id="{00000000-0008-0000-0400-00002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114800" y="0"/>
            <a:ext cx="573024" cy="6096"/>
          </a:xfrm>
          <a:prstGeom prst="rect">
            <a:avLst/>
          </a:prstGeom>
        </xdr:spPr>
      </xdr:pic>
      <xdr:pic>
        <xdr:nvPicPr>
          <xdr:cNvPr id="47" name="image11.png">
            <a:extLst>
              <a:ext uri="{FF2B5EF4-FFF2-40B4-BE49-F238E27FC236}">
                <a16:creationId xmlns:a16="http://schemas.microsoft.com/office/drawing/2014/main" id="{00000000-0008-0000-0400-00002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686300" y="0"/>
            <a:ext cx="1700784" cy="6096"/>
          </a:xfrm>
          <a:prstGeom prst="rect">
            <a:avLst/>
          </a:prstGeom>
        </xdr:spPr>
      </xdr:pic>
    </xdr:grpSp>
    <xdr:clientData/>
  </xdr:oneCellAnchor>
  <xdr:twoCellAnchor editAs="oneCell">
    <xdr:from>
      <xdr:col>1</xdr:col>
      <xdr:colOff>0</xdr:colOff>
      <xdr:row>8</xdr:row>
      <xdr:rowOff>307258</xdr:rowOff>
    </xdr:from>
    <xdr:to>
      <xdr:col>4</xdr:col>
      <xdr:colOff>463559</xdr:colOff>
      <xdr:row>8</xdr:row>
      <xdr:rowOff>317449</xdr:rowOff>
    </xdr:to>
    <xdr:grpSp>
      <xdr:nvGrpSpPr>
        <xdr:cNvPr id="51" name="Group 19">
          <a:extLst>
            <a:ext uri="{FF2B5EF4-FFF2-40B4-BE49-F238E27FC236}">
              <a16:creationId xmlns:a16="http://schemas.microsoft.com/office/drawing/2014/main" id="{00000000-0008-0000-0400-000033000000}"/>
            </a:ext>
          </a:extLst>
        </xdr:cNvPr>
        <xdr:cNvGrpSpPr/>
      </xdr:nvGrpSpPr>
      <xdr:grpSpPr>
        <a:xfrm>
          <a:off x="2695575" y="2936158"/>
          <a:ext cx="4740284" cy="10191"/>
          <a:chOff x="0" y="152400"/>
          <a:chExt cx="4687824" cy="6095"/>
        </a:xfrm>
      </xdr:grpSpPr>
      <xdr:pic>
        <xdr:nvPicPr>
          <xdr:cNvPr id="53" name="image13.png">
            <a:extLst>
              <a:ext uri="{FF2B5EF4-FFF2-40B4-BE49-F238E27FC236}">
                <a16:creationId xmlns:a16="http://schemas.microsoft.com/office/drawing/2014/main" id="{00000000-0008-0000-0400-000035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52400"/>
            <a:ext cx="1772411" cy="6095"/>
          </a:xfrm>
          <a:prstGeom prst="rect">
            <a:avLst/>
          </a:prstGeom>
        </xdr:spPr>
      </xdr:pic>
      <xdr:pic>
        <xdr:nvPicPr>
          <xdr:cNvPr id="54" name="image2.png">
            <a:extLst>
              <a:ext uri="{FF2B5EF4-FFF2-40B4-BE49-F238E27FC236}">
                <a16:creationId xmlns:a16="http://schemas.microsoft.com/office/drawing/2014/main" id="{00000000-0008-0000-0400-00003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71650" y="152400"/>
            <a:ext cx="573024" cy="6095"/>
          </a:xfrm>
          <a:prstGeom prst="rect">
            <a:avLst/>
          </a:prstGeom>
        </xdr:spPr>
      </xdr:pic>
      <xdr:pic>
        <xdr:nvPicPr>
          <xdr:cNvPr id="55" name="image3.png">
            <a:extLst>
              <a:ext uri="{FF2B5EF4-FFF2-40B4-BE49-F238E27FC236}">
                <a16:creationId xmlns:a16="http://schemas.microsoft.com/office/drawing/2014/main" id="{00000000-0008-0000-0400-0000370000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2343150" y="152400"/>
            <a:ext cx="1773174" cy="6095"/>
          </a:xfrm>
          <a:prstGeom prst="rect">
            <a:avLst/>
          </a:prstGeom>
        </xdr:spPr>
      </xdr:pic>
      <xdr:pic>
        <xdr:nvPicPr>
          <xdr:cNvPr id="56" name="image4.png">
            <a:extLst>
              <a:ext uri="{FF2B5EF4-FFF2-40B4-BE49-F238E27FC236}">
                <a16:creationId xmlns:a16="http://schemas.microsoft.com/office/drawing/2014/main" id="{00000000-0008-0000-0400-0000380000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4114800" y="152400"/>
            <a:ext cx="573024" cy="6095"/>
          </a:xfrm>
          <a:prstGeom prst="rect">
            <a:avLst/>
          </a:prstGeom>
        </xdr:spPr>
      </xdr:pic>
    </xdr:grpSp>
    <xdr:clientData/>
  </xdr:twoCellAnchor>
  <xdr:twoCellAnchor editAs="oneCell">
    <xdr:from>
      <xdr:col>1</xdr:col>
      <xdr:colOff>0</xdr:colOff>
      <xdr:row>8</xdr:row>
      <xdr:rowOff>189232</xdr:rowOff>
    </xdr:from>
    <xdr:to>
      <xdr:col>4</xdr:col>
      <xdr:colOff>473961</xdr:colOff>
      <xdr:row>8</xdr:row>
      <xdr:rowOff>199317</xdr:rowOff>
    </xdr:to>
    <xdr:grpSp>
      <xdr:nvGrpSpPr>
        <xdr:cNvPr id="58" name="Group 28">
          <a:extLst>
            <a:ext uri="{FF2B5EF4-FFF2-40B4-BE49-F238E27FC236}">
              <a16:creationId xmlns:a16="http://schemas.microsoft.com/office/drawing/2014/main" id="{00000000-0008-0000-0400-00003A000000}"/>
            </a:ext>
          </a:extLst>
        </xdr:cNvPr>
        <xdr:cNvGrpSpPr/>
      </xdr:nvGrpSpPr>
      <xdr:grpSpPr>
        <a:xfrm>
          <a:off x="2695575" y="2818132"/>
          <a:ext cx="4750686" cy="10085"/>
          <a:chOff x="0" y="0"/>
          <a:chExt cx="4688205" cy="6350"/>
        </a:xfrm>
      </xdr:grpSpPr>
      <xdr:pic>
        <xdr:nvPicPr>
          <xdr:cNvPr id="59" name="image13.png">
            <a:extLst>
              <a:ext uri="{FF2B5EF4-FFF2-40B4-BE49-F238E27FC236}">
                <a16:creationId xmlns:a16="http://schemas.microsoft.com/office/drawing/2014/main" id="{00000000-0008-0000-0400-00003B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0"/>
            <a:ext cx="1772411" cy="6095"/>
          </a:xfrm>
          <a:prstGeom prst="rect">
            <a:avLst/>
          </a:prstGeom>
        </xdr:spPr>
      </xdr:pic>
      <xdr:pic>
        <xdr:nvPicPr>
          <xdr:cNvPr id="60" name="image2.png">
            <a:extLst>
              <a:ext uri="{FF2B5EF4-FFF2-40B4-BE49-F238E27FC236}">
                <a16:creationId xmlns:a16="http://schemas.microsoft.com/office/drawing/2014/main" id="{00000000-0008-0000-0400-00003C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71650" y="0"/>
            <a:ext cx="573024" cy="6095"/>
          </a:xfrm>
          <a:prstGeom prst="rect">
            <a:avLst/>
          </a:prstGeom>
        </xdr:spPr>
      </xdr:pic>
      <xdr:pic>
        <xdr:nvPicPr>
          <xdr:cNvPr id="61" name="image12.png">
            <a:extLst>
              <a:ext uri="{FF2B5EF4-FFF2-40B4-BE49-F238E27FC236}">
                <a16:creationId xmlns:a16="http://schemas.microsoft.com/office/drawing/2014/main" id="{00000000-0008-0000-0400-00003D0000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2343150" y="0"/>
            <a:ext cx="2344674" cy="6095"/>
          </a:xfrm>
          <a:prstGeom prst="rect">
            <a:avLst/>
          </a:prstGeom>
        </xdr:spPr>
      </xdr:pic>
    </xdr:grpSp>
    <xdr:clientData/>
  </xdr:twoCellAnchor>
  <xdr:twoCellAnchor editAs="oneCell">
    <xdr:from>
      <xdr:col>0</xdr:col>
      <xdr:colOff>1213866</xdr:colOff>
      <xdr:row>30</xdr:row>
      <xdr:rowOff>189015</xdr:rowOff>
    </xdr:from>
    <xdr:to>
      <xdr:col>2</xdr:col>
      <xdr:colOff>624813</xdr:colOff>
      <xdr:row>30</xdr:row>
      <xdr:rowOff>199100</xdr:rowOff>
    </xdr:to>
    <xdr:grpSp>
      <xdr:nvGrpSpPr>
        <xdr:cNvPr id="82" name="Group 86">
          <a:extLst>
            <a:ext uri="{FF2B5EF4-FFF2-40B4-BE49-F238E27FC236}">
              <a16:creationId xmlns:a16="http://schemas.microsoft.com/office/drawing/2014/main" id="{00000000-0008-0000-0400-000052000000}"/>
            </a:ext>
          </a:extLst>
        </xdr:cNvPr>
        <xdr:cNvGrpSpPr/>
      </xdr:nvGrpSpPr>
      <xdr:grpSpPr>
        <a:xfrm>
          <a:off x="1213866" y="10780815"/>
          <a:ext cx="3830547" cy="10085"/>
          <a:chOff x="0" y="0"/>
          <a:chExt cx="3664585" cy="6350"/>
        </a:xfrm>
      </xdr:grpSpPr>
      <xdr:pic>
        <xdr:nvPicPr>
          <xdr:cNvPr id="83" name="image32.png">
            <a:extLst>
              <a:ext uri="{FF2B5EF4-FFF2-40B4-BE49-F238E27FC236}">
                <a16:creationId xmlns:a16="http://schemas.microsoft.com/office/drawing/2014/main" id="{00000000-0008-0000-0400-000053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0"/>
            <a:ext cx="481584" cy="6096"/>
          </a:xfrm>
          <a:prstGeom prst="rect">
            <a:avLst/>
          </a:prstGeom>
        </xdr:spPr>
      </xdr:pic>
      <xdr:pic>
        <xdr:nvPicPr>
          <xdr:cNvPr id="84" name="image33.png">
            <a:extLst>
              <a:ext uri="{FF2B5EF4-FFF2-40B4-BE49-F238E27FC236}">
                <a16:creationId xmlns:a16="http://schemas.microsoft.com/office/drawing/2014/main" id="{00000000-0008-0000-0400-000054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80059" y="0"/>
            <a:ext cx="1417319" cy="6096"/>
          </a:xfrm>
          <a:prstGeom prst="rect">
            <a:avLst/>
          </a:prstGeom>
        </xdr:spPr>
      </xdr:pic>
      <xdr:pic>
        <xdr:nvPicPr>
          <xdr:cNvPr id="85" name="image34.png">
            <a:extLst>
              <a:ext uri="{FF2B5EF4-FFF2-40B4-BE49-F238E27FC236}">
                <a16:creationId xmlns:a16="http://schemas.microsoft.com/office/drawing/2014/main" id="{00000000-0008-0000-0400-000055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895855" y="0"/>
            <a:ext cx="682751" cy="6096"/>
          </a:xfrm>
          <a:prstGeom prst="rect">
            <a:avLst/>
          </a:prstGeom>
        </xdr:spPr>
      </xdr:pic>
      <xdr:pic>
        <xdr:nvPicPr>
          <xdr:cNvPr id="86" name="image35.png">
            <a:extLst>
              <a:ext uri="{FF2B5EF4-FFF2-40B4-BE49-F238E27FC236}">
                <a16:creationId xmlns:a16="http://schemas.microsoft.com/office/drawing/2014/main" id="{00000000-0008-0000-0400-000056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76322" y="0"/>
            <a:ext cx="1088136" cy="6096"/>
          </a:xfrm>
          <a:prstGeom prst="rect">
            <a:avLst/>
          </a:prstGeom>
        </xdr:spPr>
      </xdr:pic>
    </xdr:grpSp>
    <xdr:clientData/>
  </xdr:twoCellAnchor>
  <xdr:twoCellAnchor editAs="oneCell">
    <xdr:from>
      <xdr:col>0</xdr:col>
      <xdr:colOff>1213866</xdr:colOff>
      <xdr:row>30</xdr:row>
      <xdr:rowOff>189015</xdr:rowOff>
    </xdr:from>
    <xdr:to>
      <xdr:col>2</xdr:col>
      <xdr:colOff>624813</xdr:colOff>
      <xdr:row>30</xdr:row>
      <xdr:rowOff>199100</xdr:rowOff>
    </xdr:to>
    <xdr:grpSp>
      <xdr:nvGrpSpPr>
        <xdr:cNvPr id="87" name="Group 92">
          <a:extLst>
            <a:ext uri="{FF2B5EF4-FFF2-40B4-BE49-F238E27FC236}">
              <a16:creationId xmlns:a16="http://schemas.microsoft.com/office/drawing/2014/main" id="{00000000-0008-0000-0400-000057000000}"/>
            </a:ext>
          </a:extLst>
        </xdr:cNvPr>
        <xdr:cNvGrpSpPr/>
      </xdr:nvGrpSpPr>
      <xdr:grpSpPr>
        <a:xfrm>
          <a:off x="1213866" y="10780815"/>
          <a:ext cx="3830547" cy="10085"/>
          <a:chOff x="0" y="0"/>
          <a:chExt cx="3664585" cy="6350"/>
        </a:xfrm>
      </xdr:grpSpPr>
      <xdr:pic>
        <xdr:nvPicPr>
          <xdr:cNvPr id="88" name="image32.png">
            <a:extLst>
              <a:ext uri="{FF2B5EF4-FFF2-40B4-BE49-F238E27FC236}">
                <a16:creationId xmlns:a16="http://schemas.microsoft.com/office/drawing/2014/main" id="{00000000-0008-0000-0400-000058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0"/>
            <a:ext cx="481584" cy="6096"/>
          </a:xfrm>
          <a:prstGeom prst="rect">
            <a:avLst/>
          </a:prstGeom>
        </xdr:spPr>
      </xdr:pic>
      <xdr:pic>
        <xdr:nvPicPr>
          <xdr:cNvPr id="89" name="image33.png">
            <a:extLst>
              <a:ext uri="{FF2B5EF4-FFF2-40B4-BE49-F238E27FC236}">
                <a16:creationId xmlns:a16="http://schemas.microsoft.com/office/drawing/2014/main" id="{00000000-0008-0000-0400-000059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80059" y="0"/>
            <a:ext cx="1417319" cy="6096"/>
          </a:xfrm>
          <a:prstGeom prst="rect">
            <a:avLst/>
          </a:prstGeom>
        </xdr:spPr>
      </xdr:pic>
      <xdr:pic>
        <xdr:nvPicPr>
          <xdr:cNvPr id="90" name="image34.png">
            <a:extLst>
              <a:ext uri="{FF2B5EF4-FFF2-40B4-BE49-F238E27FC236}">
                <a16:creationId xmlns:a16="http://schemas.microsoft.com/office/drawing/2014/main" id="{00000000-0008-0000-0400-00005A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895855" y="0"/>
            <a:ext cx="682751" cy="6096"/>
          </a:xfrm>
          <a:prstGeom prst="rect">
            <a:avLst/>
          </a:prstGeom>
        </xdr:spPr>
      </xdr:pic>
      <xdr:pic>
        <xdr:nvPicPr>
          <xdr:cNvPr id="91" name="image35.png">
            <a:extLst>
              <a:ext uri="{FF2B5EF4-FFF2-40B4-BE49-F238E27FC236}">
                <a16:creationId xmlns:a16="http://schemas.microsoft.com/office/drawing/2014/main" id="{00000000-0008-0000-0400-00005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76322" y="0"/>
            <a:ext cx="1088136" cy="6096"/>
          </a:xfrm>
          <a:prstGeom prst="rect">
            <a:avLst/>
          </a:prstGeom>
        </xdr:spPr>
      </xdr:pic>
    </xdr:grpSp>
    <xdr:clientData/>
  </xdr:twoCellAnchor>
  <xdr:twoCellAnchor editAs="oneCell">
    <xdr:from>
      <xdr:col>0</xdr:col>
      <xdr:colOff>1213866</xdr:colOff>
      <xdr:row>30</xdr:row>
      <xdr:rowOff>189015</xdr:rowOff>
    </xdr:from>
    <xdr:to>
      <xdr:col>2</xdr:col>
      <xdr:colOff>624813</xdr:colOff>
      <xdr:row>30</xdr:row>
      <xdr:rowOff>199100</xdr:rowOff>
    </xdr:to>
    <xdr:grpSp>
      <xdr:nvGrpSpPr>
        <xdr:cNvPr id="92" name="Group 98">
          <a:extLst>
            <a:ext uri="{FF2B5EF4-FFF2-40B4-BE49-F238E27FC236}">
              <a16:creationId xmlns:a16="http://schemas.microsoft.com/office/drawing/2014/main" id="{00000000-0008-0000-0400-00005C000000}"/>
            </a:ext>
          </a:extLst>
        </xdr:cNvPr>
        <xdr:cNvGrpSpPr/>
      </xdr:nvGrpSpPr>
      <xdr:grpSpPr>
        <a:xfrm>
          <a:off x="1213866" y="10780815"/>
          <a:ext cx="3830547" cy="10085"/>
          <a:chOff x="0" y="0"/>
          <a:chExt cx="3664585" cy="6350"/>
        </a:xfrm>
      </xdr:grpSpPr>
      <xdr:pic>
        <xdr:nvPicPr>
          <xdr:cNvPr id="93" name="image32.png">
            <a:extLst>
              <a:ext uri="{FF2B5EF4-FFF2-40B4-BE49-F238E27FC236}">
                <a16:creationId xmlns:a16="http://schemas.microsoft.com/office/drawing/2014/main" id="{00000000-0008-0000-0400-00005D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0"/>
            <a:ext cx="481584" cy="6096"/>
          </a:xfrm>
          <a:prstGeom prst="rect">
            <a:avLst/>
          </a:prstGeom>
        </xdr:spPr>
      </xdr:pic>
      <xdr:pic>
        <xdr:nvPicPr>
          <xdr:cNvPr id="94" name="image33.png">
            <a:extLst>
              <a:ext uri="{FF2B5EF4-FFF2-40B4-BE49-F238E27FC236}">
                <a16:creationId xmlns:a16="http://schemas.microsoft.com/office/drawing/2014/main" id="{00000000-0008-0000-0400-00005E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80059" y="0"/>
            <a:ext cx="1417319" cy="6096"/>
          </a:xfrm>
          <a:prstGeom prst="rect">
            <a:avLst/>
          </a:prstGeom>
        </xdr:spPr>
      </xdr:pic>
      <xdr:pic>
        <xdr:nvPicPr>
          <xdr:cNvPr id="95" name="image34.png">
            <a:extLst>
              <a:ext uri="{FF2B5EF4-FFF2-40B4-BE49-F238E27FC236}">
                <a16:creationId xmlns:a16="http://schemas.microsoft.com/office/drawing/2014/main" id="{00000000-0008-0000-0400-00005F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895855" y="0"/>
            <a:ext cx="682751" cy="6096"/>
          </a:xfrm>
          <a:prstGeom prst="rect">
            <a:avLst/>
          </a:prstGeom>
        </xdr:spPr>
      </xdr:pic>
      <xdr:pic>
        <xdr:nvPicPr>
          <xdr:cNvPr id="96" name="image35.png">
            <a:extLst>
              <a:ext uri="{FF2B5EF4-FFF2-40B4-BE49-F238E27FC236}">
                <a16:creationId xmlns:a16="http://schemas.microsoft.com/office/drawing/2014/main" id="{00000000-0008-0000-0400-000060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76322" y="0"/>
            <a:ext cx="1088136" cy="6096"/>
          </a:xfrm>
          <a:prstGeom prst="rect">
            <a:avLst/>
          </a:prstGeom>
        </xdr:spPr>
      </xdr:pic>
    </xdr:grpSp>
    <xdr:clientData/>
  </xdr:twoCellAnchor>
  <xdr:twoCellAnchor editAs="oneCell">
    <xdr:from>
      <xdr:col>0</xdr:col>
      <xdr:colOff>1213866</xdr:colOff>
      <xdr:row>30</xdr:row>
      <xdr:rowOff>189015</xdr:rowOff>
    </xdr:from>
    <xdr:to>
      <xdr:col>2</xdr:col>
      <xdr:colOff>624813</xdr:colOff>
      <xdr:row>30</xdr:row>
      <xdr:rowOff>199100</xdr:rowOff>
    </xdr:to>
    <xdr:grpSp>
      <xdr:nvGrpSpPr>
        <xdr:cNvPr id="97" name="Group 104">
          <a:extLst>
            <a:ext uri="{FF2B5EF4-FFF2-40B4-BE49-F238E27FC236}">
              <a16:creationId xmlns:a16="http://schemas.microsoft.com/office/drawing/2014/main" id="{00000000-0008-0000-0400-000061000000}"/>
            </a:ext>
          </a:extLst>
        </xdr:cNvPr>
        <xdr:cNvGrpSpPr/>
      </xdr:nvGrpSpPr>
      <xdr:grpSpPr>
        <a:xfrm>
          <a:off x="1213866" y="10780815"/>
          <a:ext cx="3830547" cy="10085"/>
          <a:chOff x="0" y="0"/>
          <a:chExt cx="3664585" cy="6350"/>
        </a:xfrm>
      </xdr:grpSpPr>
      <xdr:pic>
        <xdr:nvPicPr>
          <xdr:cNvPr id="98" name="image32.png">
            <a:extLst>
              <a:ext uri="{FF2B5EF4-FFF2-40B4-BE49-F238E27FC236}">
                <a16:creationId xmlns:a16="http://schemas.microsoft.com/office/drawing/2014/main" id="{00000000-0008-0000-0400-000062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0"/>
            <a:ext cx="481584" cy="6096"/>
          </a:xfrm>
          <a:prstGeom prst="rect">
            <a:avLst/>
          </a:prstGeom>
        </xdr:spPr>
      </xdr:pic>
      <xdr:pic>
        <xdr:nvPicPr>
          <xdr:cNvPr id="99" name="image33.png">
            <a:extLst>
              <a:ext uri="{FF2B5EF4-FFF2-40B4-BE49-F238E27FC236}">
                <a16:creationId xmlns:a16="http://schemas.microsoft.com/office/drawing/2014/main" id="{00000000-0008-0000-0400-0000630000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480059" y="0"/>
            <a:ext cx="1417319" cy="6096"/>
          </a:xfrm>
          <a:prstGeom prst="rect">
            <a:avLst/>
          </a:prstGeom>
        </xdr:spPr>
      </xdr:pic>
      <xdr:pic>
        <xdr:nvPicPr>
          <xdr:cNvPr id="100" name="image34.png">
            <a:extLst>
              <a:ext uri="{FF2B5EF4-FFF2-40B4-BE49-F238E27FC236}">
                <a16:creationId xmlns:a16="http://schemas.microsoft.com/office/drawing/2014/main" id="{00000000-0008-0000-0400-00006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895855" y="0"/>
            <a:ext cx="682751" cy="6096"/>
          </a:xfrm>
          <a:prstGeom prst="rect">
            <a:avLst/>
          </a:prstGeom>
        </xdr:spPr>
      </xdr:pic>
      <xdr:pic>
        <xdr:nvPicPr>
          <xdr:cNvPr id="101" name="image35.png">
            <a:extLst>
              <a:ext uri="{FF2B5EF4-FFF2-40B4-BE49-F238E27FC236}">
                <a16:creationId xmlns:a16="http://schemas.microsoft.com/office/drawing/2014/main" id="{00000000-0008-0000-0400-000065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2576322" y="0"/>
            <a:ext cx="1088136" cy="6096"/>
          </a:xfrm>
          <a:prstGeom prst="rect">
            <a:avLst/>
          </a:prstGeom>
        </xdr:spPr>
      </xdr:pic>
    </xdr:grpSp>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pi.org/~/media/files/ehs/climate-change/2009_ghg_compendium.as" TargetMode="External"/><Relationship Id="rId2" Type="http://schemas.openxmlformats.org/officeDocument/2006/relationships/hyperlink" Target="http://www.api.org/~/media/files/ehs/climate-change/2009_ghg_compendium.as" TargetMode="External"/><Relationship Id="rId1" Type="http://schemas.openxmlformats.org/officeDocument/2006/relationships/hyperlink" Target="http://www.api.org/~/media/files/ehs/climate-change/2009_ghg_compendium.as" TargetMode="External"/><Relationship Id="rId5" Type="http://schemas.openxmlformats.org/officeDocument/2006/relationships/printerSettings" Target="../printerSettings/printerSettings2.bin"/><Relationship Id="rId4" Type="http://schemas.openxmlformats.org/officeDocument/2006/relationships/hyperlink" Target="http://www.api.org/~/media/files/ehs/climate-change/2009_ghg_compendium.a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wetten.overheid.nl/jci1.3:c:BWBR0014394&amp;hoofdstuk=5&amp;afdeling=5.4&amp;paragraaf=5.4.1&amp;artikel=84&amp;z=2017-07-01&amp;g=2017-07-01" TargetMode="External"/><Relationship Id="rId13" Type="http://schemas.openxmlformats.org/officeDocument/2006/relationships/hyperlink" Target="http://wetten.overheid.nl/jci1.3:c:BWBR0014168&amp;hoofdstuk=4&amp;paragraaf=4.1&amp;artikel=40&amp;z=2017-03-11&amp;g=2017-03-11" TargetMode="External"/><Relationship Id="rId3" Type="http://schemas.openxmlformats.org/officeDocument/2006/relationships/hyperlink" Target="http://wetten.overheid.nl/jci1.3:c:BWBR0023771&amp;hoofdstuk=4&amp;paragraaf=5&amp;artikel=61&amp;z=2017-05-01&amp;g=2017-05-01" TargetMode="External"/><Relationship Id="rId7" Type="http://schemas.openxmlformats.org/officeDocument/2006/relationships/hyperlink" Target="http://wetten.overheid.nl/jci1.3:c:BWBR0014394&amp;hoofdstuk=3&amp;paragraaf=3.1&amp;artikel=24&amp;z=2017-07-01&amp;g=2017-07-01" TargetMode="External"/><Relationship Id="rId12" Type="http://schemas.openxmlformats.org/officeDocument/2006/relationships/hyperlink" Target="http://wetten.overheid.nl/jci1.3:c:BWBR0014394&amp;hoofdstuk=5&amp;afdeling=5.4&amp;paragraaf=5.4.1&amp;artikel=84&amp;z=2017-07-01&amp;g=2017-07-01" TargetMode="External"/><Relationship Id="rId17" Type="http://schemas.openxmlformats.org/officeDocument/2006/relationships/printerSettings" Target="../printerSettings/printerSettings9.bin"/><Relationship Id="rId2" Type="http://schemas.openxmlformats.org/officeDocument/2006/relationships/hyperlink" Target="http://wetten.overheid.nl/jci1.3:c:BWBR0014468&amp;hoofdstuk=1&amp;paragraaf=1.4&amp;artikel=1.4.3&amp;z=2017-08-29&amp;g=2017-08-29" TargetMode="External"/><Relationship Id="rId16" Type="http://schemas.openxmlformats.org/officeDocument/2006/relationships/hyperlink" Target="http://wetten.overheid.nl/jci1.3:c:BWBR0014394&amp;hoofdstuk=3&amp;paragraaf=3.1&amp;artikel=24&amp;z=2017-07-01&amp;g=2017-07-01" TargetMode="External"/><Relationship Id="rId1" Type="http://schemas.openxmlformats.org/officeDocument/2006/relationships/hyperlink" Target="http://wetten.overheid.nl/jci1.3:c:BWBR0014468&amp;hoofdstuk=1&amp;paragraaf=1.4&amp;artikel=1.4.3&amp;z=2017-08-29&amp;g=2017-08-29" TargetMode="External"/><Relationship Id="rId6" Type="http://schemas.openxmlformats.org/officeDocument/2006/relationships/hyperlink" Target="http://wetten.overheid.nl/jci1.3:c:BWBR0023771&amp;hoofdstuk=4&amp;paragraaf=3&amp;artikel=55&amp;z=2017-05-01&amp;g=2017-05-01" TargetMode="External"/><Relationship Id="rId11" Type="http://schemas.openxmlformats.org/officeDocument/2006/relationships/hyperlink" Target="http://wetten.overheid.nl/jci1.3:c:BWBR0014168&amp;hoofdstuk=4&amp;paragraaf=4.1&amp;artikel=33&amp;z=2017-03-11&amp;g=2017-03-11" TargetMode="External"/><Relationship Id="rId5" Type="http://schemas.openxmlformats.org/officeDocument/2006/relationships/hyperlink" Target="http://wetten.overheid.nl/jci1.3:c:BWBR0023771&amp;hoofdstuk=4&amp;paragraaf=3&amp;artikel=54&amp;z=2017-05-01&amp;g=2017-05-01" TargetMode="External"/><Relationship Id="rId15" Type="http://schemas.openxmlformats.org/officeDocument/2006/relationships/hyperlink" Target="http://wetten.overheid.nl/jci1.3:c:BWBR0014168&amp;hoofdstuk=4&amp;paragraaf=4.1&amp;artikel=40&amp;z=2017-03-11&amp;g=2017-03-11" TargetMode="External"/><Relationship Id="rId10" Type="http://schemas.openxmlformats.org/officeDocument/2006/relationships/hyperlink" Target="http://wetten.overheid.nl/jci1.3:c:BWBR0014168&amp;hoofdstuk=4&amp;paragraaf=4.1&amp;artikel=33&amp;z=2017-03-11&amp;g=2017-03-11" TargetMode="External"/><Relationship Id="rId4" Type="http://schemas.openxmlformats.org/officeDocument/2006/relationships/hyperlink" Target="http://wetten.overheid.nl/jci1.3:c:BWBR0014394&amp;hoofdstuk=5&amp;afdeling=5.4&amp;paragraaf=5.4.1&amp;artikel=84&amp;z=2017-07-01&amp;g=2017-07-01" TargetMode="External"/><Relationship Id="rId9" Type="http://schemas.openxmlformats.org/officeDocument/2006/relationships/hyperlink" Target="https://www.onsaardgas.nl/wp-content/uploads/2016/08/Guideline-23-Emissiebepaling-en-Rapportage-Lucht.pdf" TargetMode="External"/><Relationship Id="rId14" Type="http://schemas.openxmlformats.org/officeDocument/2006/relationships/hyperlink" Target="http://wetten.overheid.nl/jci1.3:c:BWBR0014168&amp;hoofdstuk=4&amp;paragraaf=4.1&amp;artikel=40&amp;z=2017-03-11&amp;g=2017-03-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0"/>
  <sheetViews>
    <sheetView zoomScale="80" zoomScaleNormal="80" workbookViewId="0">
      <selection activeCell="O9" sqref="O9"/>
    </sheetView>
  </sheetViews>
  <sheetFormatPr defaultRowHeight="15" x14ac:dyDescent="0.25"/>
  <cols>
    <col min="1" max="1" width="21.85546875" customWidth="1"/>
    <col min="2" max="2" width="29.7109375" customWidth="1"/>
    <col min="3" max="3" width="13.85546875" customWidth="1"/>
    <col min="13" max="13" width="11.42578125" customWidth="1"/>
  </cols>
  <sheetData>
    <row r="1" spans="1:13" x14ac:dyDescent="0.25">
      <c r="A1" s="28" t="s">
        <v>350</v>
      </c>
      <c r="B1" s="28" t="s">
        <v>204</v>
      </c>
      <c r="D1" s="28" t="s">
        <v>361</v>
      </c>
    </row>
    <row r="2" spans="1:13" x14ac:dyDescent="0.25">
      <c r="A2" s="50" t="s">
        <v>197</v>
      </c>
      <c r="B2" s="49" t="s">
        <v>212</v>
      </c>
      <c r="C2" s="20"/>
      <c r="D2" s="128"/>
      <c r="E2" t="s">
        <v>357</v>
      </c>
      <c r="J2" s="150" t="s">
        <v>203</v>
      </c>
      <c r="M2" s="30">
        <v>44295</v>
      </c>
    </row>
    <row r="3" spans="1:13" x14ac:dyDescent="0.25">
      <c r="A3" s="50" t="s">
        <v>345</v>
      </c>
      <c r="B3" s="49" t="s">
        <v>505</v>
      </c>
      <c r="C3" s="20"/>
      <c r="D3" s="136"/>
      <c r="E3" t="s">
        <v>358</v>
      </c>
      <c r="J3" s="150" t="s">
        <v>356</v>
      </c>
      <c r="M3" s="132">
        <v>3</v>
      </c>
    </row>
    <row r="4" spans="1:13" x14ac:dyDescent="0.25">
      <c r="A4" s="50" t="s">
        <v>348</v>
      </c>
      <c r="B4" s="128" t="s">
        <v>506</v>
      </c>
      <c r="C4" s="54"/>
      <c r="D4" s="137"/>
      <c r="E4" t="s">
        <v>359</v>
      </c>
    </row>
    <row r="5" spans="1:13" x14ac:dyDescent="0.25">
      <c r="A5" s="127" t="s">
        <v>349</v>
      </c>
      <c r="B5" s="128" t="s">
        <v>507</v>
      </c>
      <c r="C5" s="54"/>
      <c r="D5" s="138"/>
      <c r="E5" t="s">
        <v>360</v>
      </c>
    </row>
    <row r="8" spans="1:13" x14ac:dyDescent="0.25">
      <c r="B8" s="20"/>
      <c r="C8" s="20"/>
      <c r="E8" s="52"/>
      <c r="F8" s="52"/>
      <c r="G8" s="52"/>
    </row>
    <row r="9" spans="1:13" x14ac:dyDescent="0.25">
      <c r="B9" s="20"/>
      <c r="C9" s="20"/>
      <c r="E9" s="52"/>
      <c r="F9" s="52"/>
      <c r="G9" s="52"/>
    </row>
    <row r="10" spans="1:13" x14ac:dyDescent="0.25">
      <c r="B10" s="29" t="s">
        <v>199</v>
      </c>
      <c r="C10" s="20"/>
    </row>
    <row r="11" spans="1:13" x14ac:dyDescent="0.25">
      <c r="B11" s="20"/>
      <c r="C11" s="20"/>
    </row>
    <row r="12" spans="1:13" x14ac:dyDescent="0.25">
      <c r="B12" s="20"/>
      <c r="C12" s="20"/>
    </row>
    <row r="13" spans="1:13" x14ac:dyDescent="0.25">
      <c r="B13" s="20"/>
      <c r="C13" s="20"/>
    </row>
    <row r="14" spans="1:13" x14ac:dyDescent="0.25">
      <c r="B14" s="20"/>
      <c r="C14" s="20"/>
    </row>
    <row r="29" spans="2:16" x14ac:dyDescent="0.25">
      <c r="B29" s="135" t="s">
        <v>214</v>
      </c>
      <c r="C29" s="135"/>
      <c r="D29" s="135"/>
      <c r="E29" s="135"/>
      <c r="F29" s="135"/>
      <c r="G29" s="135"/>
      <c r="H29" s="135"/>
      <c r="I29" s="135"/>
      <c r="J29" s="135"/>
      <c r="K29" s="135"/>
      <c r="L29" s="135"/>
      <c r="M29" s="135"/>
      <c r="N29" s="135"/>
      <c r="O29" s="135"/>
      <c r="P29" s="135"/>
    </row>
    <row r="30" spans="2:16" x14ac:dyDescent="0.25">
      <c r="B30" s="135" t="s">
        <v>200</v>
      </c>
      <c r="C30" s="135"/>
      <c r="D30" s="135"/>
      <c r="E30" s="135"/>
      <c r="F30" s="135"/>
      <c r="G30" s="135"/>
      <c r="H30" s="135"/>
      <c r="I30" s="135"/>
      <c r="J30" s="135"/>
      <c r="K30" s="135"/>
      <c r="L30" s="135"/>
      <c r="M30" s="135"/>
      <c r="N30" s="135"/>
      <c r="O30" s="135"/>
      <c r="P30" s="135"/>
    </row>
    <row r="31" spans="2:16" x14ac:dyDescent="0.25">
      <c r="B31" s="135" t="s">
        <v>201</v>
      </c>
      <c r="C31" s="135"/>
      <c r="D31" s="135"/>
      <c r="E31" s="135"/>
      <c r="F31" s="135"/>
      <c r="G31" s="135"/>
      <c r="H31" s="135"/>
      <c r="I31" s="135"/>
      <c r="J31" s="135"/>
      <c r="K31" s="135"/>
      <c r="L31" s="135"/>
      <c r="M31" s="135"/>
      <c r="N31" s="135"/>
      <c r="O31" s="135"/>
      <c r="P31" s="135"/>
    </row>
    <row r="32" spans="2:16" x14ac:dyDescent="0.25">
      <c r="B32" s="135" t="s">
        <v>202</v>
      </c>
      <c r="C32" s="135"/>
      <c r="D32" s="135"/>
      <c r="E32" s="135"/>
      <c r="F32" s="135"/>
      <c r="G32" s="135"/>
      <c r="H32" s="135"/>
      <c r="I32" s="135"/>
      <c r="J32" s="135"/>
      <c r="K32" s="135"/>
      <c r="L32" s="135"/>
      <c r="M32" s="135"/>
      <c r="N32" s="135"/>
      <c r="O32" s="135"/>
      <c r="P32" s="135"/>
    </row>
    <row r="34" spans="2:3" x14ac:dyDescent="0.25">
      <c r="B34" s="135" t="s">
        <v>242</v>
      </c>
      <c r="C34" s="135"/>
    </row>
    <row r="50" spans="15:15" x14ac:dyDescent="0.25">
      <c r="O50" s="28"/>
    </row>
  </sheetData>
  <pageMargins left="0.7" right="0.7" top="0.75" bottom="0.75" header="0.3" footer="0.3"/>
  <pageSetup paperSize="9" orientation="portrait" r:id="rId1"/>
  <headerFooter>
    <oddFooter>&amp;L&amp;1#&amp;"Calibri"&amp;10&amp;K000000TOTAL Classification: Restricted Distribution TOTAL - All rights reserved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D03B568-BE15-48DE-B719-16AD5EC197B4}">
          <x14:formula1>
            <xm:f>Sheet4!$C$1:$C$11</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7"/>
  <sheetViews>
    <sheetView tabSelected="1" zoomScale="85" zoomScaleNormal="85" zoomScalePageLayoutView="85" workbookViewId="0">
      <selection activeCell="A32" sqref="A32"/>
    </sheetView>
  </sheetViews>
  <sheetFormatPr defaultColWidth="41.7109375" defaultRowHeight="15" x14ac:dyDescent="0.25"/>
  <cols>
    <col min="1" max="1" width="49.140625" bestFit="1" customWidth="1"/>
    <col min="2" max="2" width="66.7109375" bestFit="1" customWidth="1"/>
    <col min="3" max="3" width="71.42578125" bestFit="1" customWidth="1"/>
  </cols>
  <sheetData>
    <row r="1" spans="1:3" x14ac:dyDescent="0.25">
      <c r="A1" s="139" t="s">
        <v>1</v>
      </c>
      <c r="B1" s="140" t="s">
        <v>101</v>
      </c>
    </row>
    <row r="2" spans="1:3" x14ac:dyDescent="0.25">
      <c r="A2" s="23">
        <v>1</v>
      </c>
      <c r="B2" s="24" t="s">
        <v>102</v>
      </c>
    </row>
    <row r="3" spans="1:3" x14ac:dyDescent="0.25">
      <c r="A3" s="23">
        <v>2</v>
      </c>
      <c r="B3" s="24" t="s">
        <v>103</v>
      </c>
    </row>
    <row r="4" spans="1:3" x14ac:dyDescent="0.25">
      <c r="A4" s="23">
        <v>3</v>
      </c>
      <c r="B4" s="24" t="s">
        <v>104</v>
      </c>
    </row>
    <row r="5" spans="1:3" x14ac:dyDescent="0.25">
      <c r="A5" s="23">
        <v>4</v>
      </c>
      <c r="B5" s="24" t="s">
        <v>105</v>
      </c>
    </row>
    <row r="6" spans="1:3" x14ac:dyDescent="0.25">
      <c r="A6" s="23">
        <v>5</v>
      </c>
      <c r="B6" s="24" t="s">
        <v>106</v>
      </c>
    </row>
    <row r="7" spans="1:3" x14ac:dyDescent="0.25">
      <c r="A7" s="23">
        <v>6</v>
      </c>
      <c r="B7" s="24" t="s">
        <v>107</v>
      </c>
    </row>
    <row r="8" spans="1:3" x14ac:dyDescent="0.25">
      <c r="A8" s="23">
        <v>7</v>
      </c>
      <c r="B8" s="24" t="s">
        <v>108</v>
      </c>
    </row>
    <row r="9" spans="1:3" x14ac:dyDescent="0.25">
      <c r="A9" s="23">
        <v>8</v>
      </c>
      <c r="B9" s="24" t="s">
        <v>109</v>
      </c>
    </row>
    <row r="10" spans="1:3" ht="15.75" thickBot="1" x14ac:dyDescent="0.3">
      <c r="A10" s="21">
        <v>9</v>
      </c>
      <c r="B10" s="25" t="s">
        <v>110</v>
      </c>
    </row>
    <row r="13" spans="1:3" ht="15" customHeight="1" x14ac:dyDescent="0.25"/>
    <row r="14" spans="1:3" ht="17.25" x14ac:dyDescent="0.3">
      <c r="A14" s="4" t="s">
        <v>0</v>
      </c>
      <c r="B14" s="1"/>
      <c r="C14" s="1"/>
    </row>
    <row r="15" spans="1:3" ht="36" customHeight="1" x14ac:dyDescent="0.25">
      <c r="A15" s="237" t="s">
        <v>500</v>
      </c>
      <c r="B15" s="1"/>
      <c r="C15" s="1"/>
    </row>
    <row r="16" spans="1:3" ht="15.75" thickBot="1" x14ac:dyDescent="0.3">
      <c r="A16" s="141" t="s">
        <v>1</v>
      </c>
      <c r="B16" s="141" t="s">
        <v>2</v>
      </c>
      <c r="C16" s="141" t="s">
        <v>97</v>
      </c>
    </row>
    <row r="17" spans="1:3" x14ac:dyDescent="0.25">
      <c r="A17" s="8" t="s">
        <v>10</v>
      </c>
      <c r="B17" s="9" t="s">
        <v>3</v>
      </c>
      <c r="C17" s="34" t="s">
        <v>337</v>
      </c>
    </row>
    <row r="18" spans="1:3" ht="15.75" thickBot="1" x14ac:dyDescent="0.3">
      <c r="A18" s="3"/>
      <c r="B18" s="37" t="s">
        <v>215</v>
      </c>
      <c r="C18" s="31" t="s">
        <v>336</v>
      </c>
    </row>
    <row r="19" spans="1:3" ht="15.75" thickBot="1" x14ac:dyDescent="0.3">
      <c r="A19" s="1"/>
      <c r="B19" s="1"/>
      <c r="C19" s="1"/>
    </row>
    <row r="20" spans="1:3" x14ac:dyDescent="0.25">
      <c r="A20" s="8" t="s">
        <v>4</v>
      </c>
      <c r="B20" s="9" t="s">
        <v>216</v>
      </c>
      <c r="C20" s="123" t="s">
        <v>241</v>
      </c>
    </row>
    <row r="21" spans="1:3" ht="15.75" thickBot="1" x14ac:dyDescent="0.3">
      <c r="A21" s="151" t="s">
        <v>335</v>
      </c>
      <c r="B21" s="37" t="s">
        <v>215</v>
      </c>
      <c r="C21" s="38" t="s">
        <v>205</v>
      </c>
    </row>
    <row r="22" spans="1:3" ht="15.75" thickBot="1" x14ac:dyDescent="0.3">
      <c r="A22" s="1"/>
      <c r="B22" s="1"/>
      <c r="C22" s="1"/>
    </row>
    <row r="23" spans="1:3" x14ac:dyDescent="0.25">
      <c r="A23" s="32" t="s">
        <v>5</v>
      </c>
      <c r="B23" s="33" t="s">
        <v>3</v>
      </c>
      <c r="C23" s="34" t="s">
        <v>343</v>
      </c>
    </row>
    <row r="24" spans="1:3" x14ac:dyDescent="0.25">
      <c r="A24" s="2"/>
      <c r="B24" s="2" t="s">
        <v>219</v>
      </c>
      <c r="C24" s="35" t="s">
        <v>240</v>
      </c>
    </row>
    <row r="25" spans="1:3" x14ac:dyDescent="0.25">
      <c r="A25" s="2"/>
      <c r="B25" s="36" t="s">
        <v>217</v>
      </c>
      <c r="C25" s="2" t="s">
        <v>218</v>
      </c>
    </row>
    <row r="26" spans="1:3" ht="15.75" thickBot="1" x14ac:dyDescent="0.3"/>
    <row r="27" spans="1:3" x14ac:dyDescent="0.25">
      <c r="A27" s="8" t="s">
        <v>92</v>
      </c>
      <c r="B27" s="9" t="s">
        <v>6</v>
      </c>
      <c r="C27" s="10" t="s">
        <v>339</v>
      </c>
    </row>
    <row r="28" spans="1:3" x14ac:dyDescent="0.25">
      <c r="A28" s="6"/>
      <c r="B28" s="36" t="s">
        <v>7</v>
      </c>
      <c r="C28" s="124" t="s">
        <v>338</v>
      </c>
    </row>
    <row r="29" spans="1:3" ht="15.75" thickBot="1" x14ac:dyDescent="0.3">
      <c r="A29" s="3"/>
      <c r="B29" s="5" t="s">
        <v>210</v>
      </c>
      <c r="C29" s="7" t="s">
        <v>220</v>
      </c>
    </row>
    <row r="31" spans="1:3" ht="21" x14ac:dyDescent="0.25">
      <c r="A31" s="237" t="s">
        <v>475</v>
      </c>
    </row>
    <row r="32" spans="1:3" ht="15.75" thickBot="1" x14ac:dyDescent="0.3">
      <c r="A32" s="141" t="s">
        <v>508</v>
      </c>
      <c r="B32" s="141" t="s">
        <v>2</v>
      </c>
      <c r="C32" s="141" t="s">
        <v>97</v>
      </c>
    </row>
    <row r="33" spans="1:3" x14ac:dyDescent="0.25">
      <c r="A33" s="8" t="s">
        <v>484</v>
      </c>
      <c r="B33" s="9" t="s">
        <v>504</v>
      </c>
      <c r="C33" s="34" t="s">
        <v>501</v>
      </c>
    </row>
    <row r="34" spans="1:3" ht="15.75" thickBot="1" x14ac:dyDescent="0.3">
      <c r="A34" s="21"/>
      <c r="B34" s="37" t="s">
        <v>215</v>
      </c>
      <c r="C34" s="31" t="s">
        <v>503</v>
      </c>
    </row>
    <row r="35" spans="1:3" ht="15.75" thickBot="1" x14ac:dyDescent="0.3">
      <c r="A35" s="53"/>
      <c r="B35" s="53"/>
      <c r="C35" s="53"/>
    </row>
    <row r="36" spans="1:3" x14ac:dyDescent="0.25">
      <c r="A36" s="8" t="s">
        <v>485</v>
      </c>
      <c r="B36" s="9" t="s">
        <v>216</v>
      </c>
      <c r="C36" s="123" t="s">
        <v>241</v>
      </c>
    </row>
    <row r="37" spans="1:3" ht="15.75" thickBot="1" x14ac:dyDescent="0.3">
      <c r="A37" s="151" t="s">
        <v>335</v>
      </c>
      <c r="B37" s="37" t="s">
        <v>215</v>
      </c>
      <c r="C37" s="31" t="s">
        <v>503</v>
      </c>
    </row>
    <row r="38" spans="1:3" ht="15.75" thickBot="1" x14ac:dyDescent="0.3">
      <c r="A38" s="53"/>
      <c r="B38" s="53"/>
      <c r="C38" s="53"/>
    </row>
    <row r="39" spans="1:3" x14ac:dyDescent="0.25">
      <c r="A39" s="32" t="s">
        <v>502</v>
      </c>
      <c r="B39" s="33" t="s">
        <v>3</v>
      </c>
      <c r="C39" s="34" t="s">
        <v>343</v>
      </c>
    </row>
    <row r="40" spans="1:3" x14ac:dyDescent="0.25">
      <c r="A40" s="2"/>
      <c r="B40" s="2" t="s">
        <v>219</v>
      </c>
      <c r="C40" s="35" t="s">
        <v>240</v>
      </c>
    </row>
    <row r="41" spans="1:3" x14ac:dyDescent="0.25">
      <c r="A41" s="2"/>
      <c r="B41" s="36" t="s">
        <v>217</v>
      </c>
      <c r="C41" s="2" t="s">
        <v>218</v>
      </c>
    </row>
    <row r="42" spans="1:3" ht="15.75" thickBot="1" x14ac:dyDescent="0.3">
      <c r="A42" s="53"/>
      <c r="B42" s="53"/>
      <c r="C42" s="53"/>
    </row>
    <row r="43" spans="1:3" x14ac:dyDescent="0.25">
      <c r="A43" s="8" t="s">
        <v>488</v>
      </c>
      <c r="B43" s="9" t="s">
        <v>6</v>
      </c>
      <c r="C43" s="10" t="s">
        <v>339</v>
      </c>
    </row>
    <row r="44" spans="1:3" x14ac:dyDescent="0.25">
      <c r="A44" s="23"/>
      <c r="B44" s="36" t="s">
        <v>7</v>
      </c>
      <c r="C44" s="124" t="s">
        <v>338</v>
      </c>
    </row>
    <row r="45" spans="1:3" ht="15.75" thickBot="1" x14ac:dyDescent="0.3">
      <c r="A45" s="21"/>
      <c r="B45" s="5" t="s">
        <v>210</v>
      </c>
      <c r="C45" s="25" t="s">
        <v>220</v>
      </c>
    </row>
    <row r="47" spans="1:3" x14ac:dyDescent="0.25">
      <c r="C47" s="39"/>
    </row>
  </sheetData>
  <dataValidations count="1">
    <dataValidation type="list" allowBlank="1" showInputMessage="1" showErrorMessage="1" sqref="D4:D17" xr:uid="{00000000-0002-0000-0100-000000000000}"/>
  </dataValidations>
  <hyperlinks>
    <hyperlink ref="C18" location="'4.AP-42 CH4 factor tables'!A5" display="EPA-42 - tabellen 4-7;4-9;5-11 (zie AP-42 CH4 factor tables sheet)" xr:uid="{00000000-0004-0000-0100-000000000000}"/>
    <hyperlink ref="C21" location="'4.AP-42 CH4 factor tables'!A94" display="EPA-42 - tabel 4-11 (zie AP-42 CH4 factor tables sheet)" xr:uid="{00000000-0004-0000-0100-000001000000}"/>
    <hyperlink ref="B18" r:id="rId1" xr:uid="{00000000-0004-0000-0100-000002000000}"/>
    <hyperlink ref="B21" r:id="rId2" xr:uid="{00000000-0004-0000-0100-000003000000}"/>
    <hyperlink ref="C34" location="'AP-42-benzene EF'!A5" display="EPA-42 - tabellen 4-7/4-9 (zie AP-42 Benzene EF sheet)" xr:uid="{17529A0A-A704-463D-BC89-57B5EDA9497C}"/>
    <hyperlink ref="B34" r:id="rId3" xr:uid="{D556D878-835E-43AF-86EB-0C54ED7CE1C0}"/>
    <hyperlink ref="B37" r:id="rId4" xr:uid="{D6D8977E-1A3A-4C1F-A647-235E52F9183B}"/>
    <hyperlink ref="C37" location="'AP-42-benzene EF'!A5" display="EPA-42 - tabellen 4-7/4-9 (zie AP-42 Benzene EF sheet)" xr:uid="{65206F5B-0E40-482D-A715-BF343F07730B}"/>
  </hyperlinks>
  <pageMargins left="0.7" right="0.7" top="0.75" bottom="0.75" header="0.3" footer="0.3"/>
  <pageSetup paperSize="9" orientation="portrait" r:id="rId5"/>
  <headerFooter>
    <oddFooter>&amp;L&amp;1#&amp;"Calibri"&amp;10&amp;K000000TOTAL Classification: Restricted Distribution TOTAL - All rights reserved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2"/>
  <sheetViews>
    <sheetView topLeftCell="N1" workbookViewId="0">
      <selection activeCell="X5" sqref="X5"/>
    </sheetView>
  </sheetViews>
  <sheetFormatPr defaultRowHeight="15" x14ac:dyDescent="0.25"/>
  <cols>
    <col min="1" max="2" width="9.140625" style="55"/>
    <col min="3" max="3" width="20.140625" style="55" customWidth="1"/>
    <col min="4" max="4" width="47.140625" style="55" customWidth="1"/>
    <col min="5" max="5" width="27.140625" style="55" customWidth="1"/>
    <col min="6" max="6" width="18.28515625" style="55" customWidth="1"/>
    <col min="7" max="7" width="18.7109375" style="55" customWidth="1"/>
    <col min="8" max="8" width="20.85546875" style="54" customWidth="1"/>
    <col min="9" max="13" width="9.140625" style="55"/>
    <col min="14" max="14" width="2" style="55" customWidth="1"/>
    <col min="15" max="15" width="28" style="55" customWidth="1"/>
    <col min="16" max="16" width="36" style="55" customWidth="1"/>
    <col min="17" max="17" width="21.85546875" style="55" customWidth="1"/>
    <col min="18" max="19" width="9.140625" style="55"/>
    <col min="20" max="20" width="24.140625" style="54" customWidth="1"/>
    <col min="21" max="16384" width="9.140625" style="55"/>
  </cols>
  <sheetData>
    <row r="1" spans="1:26" ht="15.75" thickBot="1" x14ac:dyDescent="0.3">
      <c r="A1" s="245" t="str">
        <f>'1.Intro'!$A$2</f>
        <v>Operator:</v>
      </c>
      <c r="B1" s="245" t="str">
        <f>'1.Intro'!A3</f>
        <v>Inrichting:</v>
      </c>
      <c r="C1" s="245" t="s">
        <v>8</v>
      </c>
      <c r="D1" s="246" t="s">
        <v>9</v>
      </c>
      <c r="E1" s="247" t="s">
        <v>91</v>
      </c>
      <c r="F1" s="248" t="s">
        <v>100</v>
      </c>
      <c r="G1" s="249" t="s">
        <v>206</v>
      </c>
      <c r="H1" s="238" t="s">
        <v>207</v>
      </c>
      <c r="I1" s="250" t="s">
        <v>222</v>
      </c>
      <c r="J1" s="251" t="s">
        <v>342</v>
      </c>
      <c r="K1" s="251" t="s">
        <v>344</v>
      </c>
      <c r="L1" s="251" t="s">
        <v>351</v>
      </c>
      <c r="M1" s="252" t="s">
        <v>211</v>
      </c>
      <c r="N1" s="252"/>
      <c r="O1" s="245" t="s">
        <v>483</v>
      </c>
      <c r="P1" s="246" t="s">
        <v>489</v>
      </c>
      <c r="Q1" s="247" t="s">
        <v>490</v>
      </c>
      <c r="R1" s="248" t="s">
        <v>100</v>
      </c>
      <c r="S1" s="249" t="s">
        <v>206</v>
      </c>
      <c r="T1" s="238" t="s">
        <v>207</v>
      </c>
      <c r="U1" s="250" t="s">
        <v>222</v>
      </c>
      <c r="V1" s="251" t="s">
        <v>342</v>
      </c>
      <c r="W1" s="251" t="s">
        <v>344</v>
      </c>
      <c r="X1" s="251" t="s">
        <v>351</v>
      </c>
      <c r="Y1" s="252" t="s">
        <v>211</v>
      </c>
      <c r="Z1" s="253"/>
    </row>
    <row r="2" spans="1:26" x14ac:dyDescent="0.25">
      <c r="A2" s="254" t="str">
        <f>'1.Intro'!$B$2</f>
        <v>Select…</v>
      </c>
      <c r="B2" s="254" t="str">
        <f>'1.Intro'!$B$3</f>
        <v>XX</v>
      </c>
      <c r="C2" s="255" t="s">
        <v>10</v>
      </c>
      <c r="D2" s="255" t="s">
        <v>11</v>
      </c>
      <c r="E2" s="255" t="s">
        <v>12</v>
      </c>
      <c r="F2" s="256" t="s">
        <v>99</v>
      </c>
      <c r="G2" s="256"/>
      <c r="H2" s="239" t="str">
        <f>IFERROR((VLOOKUP(G2,'2.Emission reporting overview'!$B$17:$C$18,2,FALSE)),"")</f>
        <v/>
      </c>
      <c r="I2" s="256"/>
      <c r="J2" s="257"/>
      <c r="K2" s="258"/>
      <c r="L2" s="259"/>
      <c r="M2" s="260"/>
      <c r="N2" s="261"/>
      <c r="O2" s="255" t="s">
        <v>484</v>
      </c>
      <c r="P2" s="255" t="s">
        <v>11</v>
      </c>
      <c r="Q2" s="255" t="s">
        <v>491</v>
      </c>
      <c r="R2" s="256" t="s">
        <v>99</v>
      </c>
      <c r="S2" s="256"/>
      <c r="T2" s="239" t="str">
        <f>IFERROR((VLOOKUP(S2,'2.Emission reporting overview'!$B$17:$C$18,2,FALSE)),"")</f>
        <v/>
      </c>
      <c r="U2" s="256"/>
      <c r="V2" s="257"/>
      <c r="W2" s="258"/>
      <c r="X2" s="259"/>
      <c r="Y2" s="260"/>
    </row>
    <row r="3" spans="1:26" x14ac:dyDescent="0.25">
      <c r="A3" s="262" t="str">
        <f>'1.Intro'!$B$2</f>
        <v>Select…</v>
      </c>
      <c r="B3" s="262" t="str">
        <f>'1.Intro'!$B$3</f>
        <v>XX</v>
      </c>
      <c r="C3" s="263" t="s">
        <v>10</v>
      </c>
      <c r="D3" s="263" t="s">
        <v>13</v>
      </c>
      <c r="E3" s="263" t="s">
        <v>14</v>
      </c>
      <c r="F3" s="264" t="s">
        <v>99</v>
      </c>
      <c r="G3" s="264"/>
      <c r="H3" s="239" t="str">
        <f>IFERROR((VLOOKUP(G3,'2.Emission reporting overview'!$B$17:$C$18,2,FALSE)),"")</f>
        <v/>
      </c>
      <c r="I3" s="264"/>
      <c r="J3" s="265"/>
      <c r="K3" s="264"/>
      <c r="L3" s="266"/>
      <c r="M3" s="267"/>
      <c r="N3" s="268"/>
      <c r="O3" s="263" t="s">
        <v>484</v>
      </c>
      <c r="P3" s="263" t="s">
        <v>13</v>
      </c>
      <c r="Q3" s="263" t="s">
        <v>492</v>
      </c>
      <c r="R3" s="264" t="s">
        <v>99</v>
      </c>
      <c r="S3" s="264"/>
      <c r="T3" s="239" t="str">
        <f>IFERROR((VLOOKUP(S3,'2.Emission reporting overview'!$B$17:$C$18,2,FALSE)),"")</f>
        <v/>
      </c>
      <c r="U3" s="264"/>
      <c r="V3" s="265"/>
      <c r="W3" s="264"/>
      <c r="X3" s="266"/>
      <c r="Y3" s="267"/>
    </row>
    <row r="4" spans="1:26" x14ac:dyDescent="0.25">
      <c r="A4" s="262" t="str">
        <f>'1.Intro'!$B$2</f>
        <v>Select…</v>
      </c>
      <c r="B4" s="262" t="str">
        <f>'1.Intro'!$B$3</f>
        <v>XX</v>
      </c>
      <c r="C4" s="263" t="s">
        <v>10</v>
      </c>
      <c r="D4" s="263" t="s">
        <v>15</v>
      </c>
      <c r="E4" s="263" t="s">
        <v>16</v>
      </c>
      <c r="F4" s="264" t="s">
        <v>99</v>
      </c>
      <c r="G4" s="264"/>
      <c r="H4" s="239" t="str">
        <f>IFERROR((VLOOKUP(G4,'2.Emission reporting overview'!$B$17:$C$18,2,FALSE)),"")</f>
        <v/>
      </c>
      <c r="I4" s="264"/>
      <c r="J4" s="269"/>
      <c r="K4" s="270"/>
      <c r="L4" s="266"/>
      <c r="M4" s="267"/>
      <c r="N4" s="268"/>
      <c r="O4" s="263" t="s">
        <v>484</v>
      </c>
      <c r="P4" s="263" t="s">
        <v>15</v>
      </c>
      <c r="Q4" s="263" t="s">
        <v>16</v>
      </c>
      <c r="R4" s="264" t="s">
        <v>99</v>
      </c>
      <c r="S4" s="264"/>
      <c r="T4" s="239" t="str">
        <f>IFERROR((VLOOKUP(S4,'2.Emission reporting overview'!$B$17:$C$18,2,FALSE)),"")</f>
        <v/>
      </c>
      <c r="U4" s="264"/>
      <c r="V4" s="269"/>
      <c r="W4" s="270"/>
      <c r="X4" s="266"/>
      <c r="Y4" s="267"/>
    </row>
    <row r="5" spans="1:26" ht="60" x14ac:dyDescent="0.25">
      <c r="A5" s="262" t="str">
        <f>'1.Intro'!$B$2</f>
        <v>Select…</v>
      </c>
      <c r="B5" s="262" t="str">
        <f>'1.Intro'!$B$3</f>
        <v>XX</v>
      </c>
      <c r="C5" s="263" t="s">
        <v>10</v>
      </c>
      <c r="D5" s="263" t="s">
        <v>17</v>
      </c>
      <c r="E5" s="263" t="s">
        <v>18</v>
      </c>
      <c r="F5" s="264" t="s">
        <v>99</v>
      </c>
      <c r="G5" s="264"/>
      <c r="H5" s="239" t="str">
        <f>IFERROR((VLOOKUP(G5,'2.Emission reporting overview'!$B$17:$C$18,2,FALSE)),"")</f>
        <v/>
      </c>
      <c r="I5" s="264"/>
      <c r="J5" s="265"/>
      <c r="K5" s="271"/>
      <c r="L5" s="272" t="str">
        <f>IF(G5=Sheet4!E3,'6.Implementation'!C17,Sheet4!E4)</f>
        <v>-</v>
      </c>
      <c r="M5" s="267" t="s">
        <v>238</v>
      </c>
      <c r="N5" s="268"/>
      <c r="O5" s="263" t="s">
        <v>484</v>
      </c>
      <c r="P5" s="263" t="s">
        <v>17</v>
      </c>
      <c r="Q5" s="263" t="s">
        <v>493</v>
      </c>
      <c r="R5" s="264" t="s">
        <v>99</v>
      </c>
      <c r="S5" s="264"/>
      <c r="T5" s="239" t="str">
        <f>IFERROR((VLOOKUP(S5,'2.Emission reporting overview'!$B$17:$C$18,2,FALSE)),"")</f>
        <v/>
      </c>
      <c r="U5" s="264"/>
      <c r="V5" s="265"/>
      <c r="W5" s="271"/>
      <c r="X5" s="322" t="str">
        <f>IF(S5=Sheet4!E3,'6.Implementation'!G17,Sheet4!E4)</f>
        <v>-</v>
      </c>
      <c r="Y5" s="267" t="s">
        <v>238</v>
      </c>
    </row>
    <row r="6" spans="1:26" ht="60" x14ac:dyDescent="0.25">
      <c r="A6" s="262" t="str">
        <f>'1.Intro'!$B$2</f>
        <v>Select…</v>
      </c>
      <c r="B6" s="262" t="str">
        <f>'1.Intro'!$B$3</f>
        <v>XX</v>
      </c>
      <c r="C6" s="263" t="s">
        <v>10</v>
      </c>
      <c r="D6" s="263" t="s">
        <v>19</v>
      </c>
      <c r="E6" s="263" t="s">
        <v>20</v>
      </c>
      <c r="F6" s="264" t="s">
        <v>99</v>
      </c>
      <c r="G6" s="264"/>
      <c r="H6" s="239" t="str">
        <f>IFERROR((VLOOKUP(G6,'2.Emission reporting overview'!$B$17:$C$18,2,FALSE)),"")</f>
        <v/>
      </c>
      <c r="I6" s="264"/>
      <c r="J6" s="265"/>
      <c r="K6" s="264"/>
      <c r="L6" s="273" t="str">
        <f>IF(G6=Sheet4!E3,'6.Implementation'!C15,Sheet4!E4)</f>
        <v>-</v>
      </c>
      <c r="M6" s="267" t="s">
        <v>238</v>
      </c>
      <c r="N6" s="268"/>
      <c r="O6" s="263" t="s">
        <v>484</v>
      </c>
      <c r="P6" s="263" t="s">
        <v>19</v>
      </c>
      <c r="Q6" s="263" t="s">
        <v>494</v>
      </c>
      <c r="R6" s="264" t="s">
        <v>99</v>
      </c>
      <c r="S6" s="264"/>
      <c r="T6" s="239" t="str">
        <f>IFERROR((VLOOKUP(S6,'2.Emission reporting overview'!$B$17:$C$18,2,FALSE)),"")</f>
        <v/>
      </c>
      <c r="U6" s="264"/>
      <c r="V6" s="265"/>
      <c r="W6" s="264"/>
      <c r="X6" s="323" t="str">
        <f>IF(S6=Sheet4!E3,'6.Implementation'!G15,Sheet4!E4)</f>
        <v>-</v>
      </c>
      <c r="Y6" s="267" t="s">
        <v>238</v>
      </c>
    </row>
    <row r="7" spans="1:26" x14ac:dyDescent="0.25">
      <c r="A7" s="262" t="str">
        <f>'1.Intro'!$B$2</f>
        <v>Select…</v>
      </c>
      <c r="B7" s="262" t="str">
        <f>'1.Intro'!$B$3</f>
        <v>XX</v>
      </c>
      <c r="C7" s="263" t="s">
        <v>10</v>
      </c>
      <c r="D7" s="263" t="s">
        <v>21</v>
      </c>
      <c r="E7" s="263" t="s">
        <v>22</v>
      </c>
      <c r="F7" s="264" t="s">
        <v>99</v>
      </c>
      <c r="G7" s="264"/>
      <c r="H7" s="239" t="str">
        <f>IFERROR((VLOOKUP(G7,'2.Emission reporting overview'!$B$17:$C$18,2,FALSE)),"")</f>
        <v/>
      </c>
      <c r="I7" s="264"/>
      <c r="J7" s="265"/>
      <c r="K7" s="264"/>
      <c r="L7" s="266"/>
      <c r="M7" s="267"/>
      <c r="N7" s="268"/>
      <c r="O7" s="263" t="s">
        <v>484</v>
      </c>
      <c r="P7" s="263" t="s">
        <v>21</v>
      </c>
      <c r="Q7" s="263" t="s">
        <v>22</v>
      </c>
      <c r="R7" s="264" t="s">
        <v>99</v>
      </c>
      <c r="S7" s="264"/>
      <c r="T7" s="239" t="str">
        <f>IFERROR((VLOOKUP(S7,'2.Emission reporting overview'!$B$17:$C$18,2,FALSE)),"")</f>
        <v/>
      </c>
      <c r="U7" s="264"/>
      <c r="V7" s="265"/>
      <c r="W7" s="264"/>
      <c r="X7" s="266"/>
      <c r="Y7" s="267"/>
    </row>
    <row r="8" spans="1:26" x14ac:dyDescent="0.25">
      <c r="A8" s="262" t="str">
        <f>'1.Intro'!$B$2</f>
        <v>Select…</v>
      </c>
      <c r="B8" s="262" t="str">
        <f>'1.Intro'!$B$3</f>
        <v>XX</v>
      </c>
      <c r="C8" s="263" t="s">
        <v>10</v>
      </c>
      <c r="D8" s="263" t="s">
        <v>23</v>
      </c>
      <c r="E8" s="263" t="s">
        <v>24</v>
      </c>
      <c r="F8" s="264" t="s">
        <v>99</v>
      </c>
      <c r="G8" s="264"/>
      <c r="H8" s="239" t="str">
        <f>IFERROR((VLOOKUP(G8,'2.Emission reporting overview'!$B$17:$C$18,2,FALSE)),"")</f>
        <v/>
      </c>
      <c r="I8" s="264"/>
      <c r="J8" s="265"/>
      <c r="K8" s="264"/>
      <c r="L8" s="273" t="str">
        <f>IF(G8=Sheet4!E3,'6.Implementation'!C18,Sheet4!E4)</f>
        <v>-</v>
      </c>
      <c r="M8" s="267" t="s">
        <v>238</v>
      </c>
      <c r="N8" s="268"/>
      <c r="O8" s="263" t="s">
        <v>484</v>
      </c>
      <c r="P8" s="263" t="s">
        <v>23</v>
      </c>
      <c r="Q8" s="263" t="s">
        <v>495</v>
      </c>
      <c r="R8" s="264" t="s">
        <v>99</v>
      </c>
      <c r="S8" s="264"/>
      <c r="T8" s="239" t="str">
        <f>IFERROR((VLOOKUP(S8,'2.Emission reporting overview'!$B$17:$C$18,2,FALSE)),"")</f>
        <v/>
      </c>
      <c r="U8" s="264"/>
      <c r="V8" s="265"/>
      <c r="W8" s="264"/>
      <c r="X8" s="323" t="str">
        <f>IF(S8=Sheet4!E3,'6.Implementation'!G18,Sheet4!E4)</f>
        <v>-</v>
      </c>
      <c r="Y8" s="267" t="s">
        <v>238</v>
      </c>
    </row>
    <row r="9" spans="1:26" ht="60" x14ac:dyDescent="0.25">
      <c r="A9" s="262" t="str">
        <f>'1.Intro'!$B$2</f>
        <v>Select…</v>
      </c>
      <c r="B9" s="262" t="str">
        <f>'1.Intro'!$B$3</f>
        <v>XX</v>
      </c>
      <c r="C9" s="263" t="s">
        <v>10</v>
      </c>
      <c r="D9" s="263" t="s">
        <v>25</v>
      </c>
      <c r="E9" s="263" t="s">
        <v>26</v>
      </c>
      <c r="F9" s="264" t="s">
        <v>99</v>
      </c>
      <c r="G9" s="264"/>
      <c r="H9" s="239" t="str">
        <f>IFERROR((VLOOKUP(G9,'2.Emission reporting overview'!$B$17:$C$18,2,FALSE)),"")</f>
        <v/>
      </c>
      <c r="I9" s="264"/>
      <c r="J9" s="265"/>
      <c r="K9" s="264"/>
      <c r="L9" s="273" t="str">
        <f>IF(G9=Sheet4!E3,'6.Implementation'!C14,Sheet4!E4)</f>
        <v>-</v>
      </c>
      <c r="M9" s="267" t="s">
        <v>238</v>
      </c>
      <c r="N9" s="268"/>
      <c r="O9" s="263" t="s">
        <v>484</v>
      </c>
      <c r="P9" s="263" t="s">
        <v>25</v>
      </c>
      <c r="Q9" s="263" t="s">
        <v>496</v>
      </c>
      <c r="R9" s="264" t="s">
        <v>99</v>
      </c>
      <c r="S9" s="264"/>
      <c r="T9" s="239" t="str">
        <f>IFERROR((VLOOKUP(S9,'2.Emission reporting overview'!$B$17:$C$18,2,FALSE)),"")</f>
        <v/>
      </c>
      <c r="U9" s="264"/>
      <c r="V9" s="265"/>
      <c r="W9" s="264"/>
      <c r="X9" s="323" t="str">
        <f>IF(S9=Sheet4!E3,'6.Implementation'!G14,Sheet4!E4)</f>
        <v>-</v>
      </c>
      <c r="Y9" s="267" t="s">
        <v>238</v>
      </c>
    </row>
    <row r="10" spans="1:26" x14ac:dyDescent="0.25">
      <c r="A10" s="262" t="str">
        <f>'1.Intro'!$B$2</f>
        <v>Select…</v>
      </c>
      <c r="B10" s="262" t="str">
        <f>'1.Intro'!$B$3</f>
        <v>XX</v>
      </c>
      <c r="C10" s="263" t="s">
        <v>10</v>
      </c>
      <c r="D10" s="263" t="s">
        <v>27</v>
      </c>
      <c r="E10" s="263" t="s">
        <v>28</v>
      </c>
      <c r="F10" s="264" t="s">
        <v>99</v>
      </c>
      <c r="G10" s="264"/>
      <c r="H10" s="239" t="str">
        <f>IFERROR((VLOOKUP(G10,'2.Emission reporting overview'!$B$17:$C$18,2,FALSE)),"")</f>
        <v/>
      </c>
      <c r="I10" s="264"/>
      <c r="J10" s="265"/>
      <c r="K10" s="264"/>
      <c r="L10" s="266"/>
      <c r="M10" s="267"/>
      <c r="N10" s="268"/>
      <c r="O10" s="263" t="s">
        <v>484</v>
      </c>
      <c r="P10" s="263" t="s">
        <v>27</v>
      </c>
      <c r="Q10" s="263" t="s">
        <v>497</v>
      </c>
      <c r="R10" s="264" t="s">
        <v>99</v>
      </c>
      <c r="S10" s="264"/>
      <c r="T10" s="239" t="str">
        <f>IFERROR((VLOOKUP(S10,'2.Emission reporting overview'!$B$17:$C$18,2,FALSE)),"")</f>
        <v/>
      </c>
      <c r="U10" s="264"/>
      <c r="V10" s="265"/>
      <c r="W10" s="264"/>
      <c r="X10" s="266"/>
      <c r="Y10" s="267"/>
    </row>
    <row r="11" spans="1:26" x14ac:dyDescent="0.25">
      <c r="A11" s="262" t="str">
        <f>'1.Intro'!$B$2</f>
        <v>Select…</v>
      </c>
      <c r="B11" s="262" t="str">
        <f>'1.Intro'!$B$3</f>
        <v>XX</v>
      </c>
      <c r="C11" s="263" t="s">
        <v>10</v>
      </c>
      <c r="D11" s="263" t="s">
        <v>29</v>
      </c>
      <c r="E11" s="263" t="s">
        <v>30</v>
      </c>
      <c r="F11" s="264" t="s">
        <v>99</v>
      </c>
      <c r="G11" s="264"/>
      <c r="H11" s="239" t="str">
        <f>IFERROR((VLOOKUP(G11,'2.Emission reporting overview'!$B$17:$C$18,2,FALSE)),"")</f>
        <v/>
      </c>
      <c r="I11" s="264"/>
      <c r="J11" s="265"/>
      <c r="K11" s="264"/>
      <c r="L11" s="266"/>
      <c r="M11" s="267"/>
      <c r="N11" s="268"/>
      <c r="O11" s="263" t="s">
        <v>484</v>
      </c>
      <c r="P11" s="263" t="s">
        <v>29</v>
      </c>
      <c r="Q11" s="263" t="s">
        <v>30</v>
      </c>
      <c r="R11" s="264" t="s">
        <v>99</v>
      </c>
      <c r="S11" s="264"/>
      <c r="T11" s="239" t="str">
        <f>IFERROR((VLOOKUP(S11,'2.Emission reporting overview'!$B$17:$C$18,2,FALSE)),"")</f>
        <v/>
      </c>
      <c r="U11" s="264"/>
      <c r="V11" s="265"/>
      <c r="W11" s="264"/>
      <c r="X11" s="266"/>
      <c r="Y11" s="267"/>
    </row>
    <row r="12" spans="1:26" x14ac:dyDescent="0.25">
      <c r="A12" s="262" t="str">
        <f>'1.Intro'!$B$2</f>
        <v>Select…</v>
      </c>
      <c r="B12" s="262" t="str">
        <f>'1.Intro'!$B$3</f>
        <v>XX</v>
      </c>
      <c r="C12" s="263" t="s">
        <v>10</v>
      </c>
      <c r="D12" s="263" t="s">
        <v>29</v>
      </c>
      <c r="E12" s="263" t="s">
        <v>31</v>
      </c>
      <c r="F12" s="264" t="s">
        <v>99</v>
      </c>
      <c r="G12" s="264"/>
      <c r="H12" s="239" t="str">
        <f>IFERROR((VLOOKUP(G12,'2.Emission reporting overview'!$B$17:$C$18,2,FALSE)),"")</f>
        <v/>
      </c>
      <c r="I12" s="264"/>
      <c r="J12" s="265"/>
      <c r="K12" s="264"/>
      <c r="L12" s="266"/>
      <c r="M12" s="267"/>
      <c r="N12" s="268"/>
      <c r="O12" s="263" t="s">
        <v>484</v>
      </c>
      <c r="P12" s="263" t="s">
        <v>29</v>
      </c>
      <c r="Q12" s="263" t="s">
        <v>31</v>
      </c>
      <c r="R12" s="264" t="s">
        <v>99</v>
      </c>
      <c r="S12" s="264"/>
      <c r="T12" s="239" t="str">
        <f>IFERROR((VLOOKUP(S12,'2.Emission reporting overview'!$B$17:$C$18,2,FALSE)),"")</f>
        <v/>
      </c>
      <c r="U12" s="264"/>
      <c r="V12" s="265"/>
      <c r="W12" s="264"/>
      <c r="X12" s="266"/>
      <c r="Y12" s="267"/>
    </row>
    <row r="13" spans="1:26" x14ac:dyDescent="0.25">
      <c r="A13" s="262" t="str">
        <f>'1.Intro'!$B$2</f>
        <v>Select…</v>
      </c>
      <c r="B13" s="262" t="str">
        <f>'1.Intro'!$B$3</f>
        <v>XX</v>
      </c>
      <c r="C13" s="263" t="s">
        <v>10</v>
      </c>
      <c r="D13" s="263" t="s">
        <v>32</v>
      </c>
      <c r="E13" s="263" t="s">
        <v>33</v>
      </c>
      <c r="F13" s="264" t="s">
        <v>99</v>
      </c>
      <c r="G13" s="264"/>
      <c r="H13" s="239" t="str">
        <f>IFERROR((VLOOKUP(G13,'2.Emission reporting overview'!$B$17:$C$18,2,FALSE)),"")</f>
        <v/>
      </c>
      <c r="I13" s="264"/>
      <c r="J13" s="265"/>
      <c r="K13" s="264"/>
      <c r="L13" s="266"/>
      <c r="M13" s="267"/>
      <c r="N13" s="268"/>
      <c r="O13" s="263" t="s">
        <v>484</v>
      </c>
      <c r="P13" s="263" t="s">
        <v>32</v>
      </c>
      <c r="Q13" s="263" t="s">
        <v>498</v>
      </c>
      <c r="R13" s="264" t="s">
        <v>99</v>
      </c>
      <c r="S13" s="264"/>
      <c r="T13" s="239" t="str">
        <f>IFERROR((VLOOKUP(S13,'2.Emission reporting overview'!$B$17:$C$18,2,FALSE)),"")</f>
        <v/>
      </c>
      <c r="U13" s="264"/>
      <c r="V13" s="265"/>
      <c r="W13" s="264"/>
      <c r="X13" s="266"/>
      <c r="Y13" s="267"/>
    </row>
    <row r="14" spans="1:26" x14ac:dyDescent="0.25">
      <c r="A14" s="262" t="str">
        <f>'1.Intro'!$B$2</f>
        <v>Select…</v>
      </c>
      <c r="B14" s="262" t="str">
        <f>'1.Intro'!$B$3</f>
        <v>XX</v>
      </c>
      <c r="C14" s="263" t="s">
        <v>10</v>
      </c>
      <c r="D14" s="263" t="s">
        <v>34</v>
      </c>
      <c r="E14" s="263" t="s">
        <v>35</v>
      </c>
      <c r="F14" s="264" t="s">
        <v>99</v>
      </c>
      <c r="G14" s="264"/>
      <c r="H14" s="239" t="str">
        <f>IFERROR((VLOOKUP(G14,'2.Emission reporting overview'!$B$17:$C$18,2,FALSE)),"")</f>
        <v/>
      </c>
      <c r="I14" s="264"/>
      <c r="J14" s="265"/>
      <c r="K14" s="264"/>
      <c r="L14" s="266"/>
      <c r="M14" s="267"/>
      <c r="N14" s="268"/>
      <c r="O14" s="263" t="s">
        <v>484</v>
      </c>
      <c r="P14" s="263" t="s">
        <v>34</v>
      </c>
      <c r="Q14" s="263" t="s">
        <v>35</v>
      </c>
      <c r="R14" s="264" t="s">
        <v>99</v>
      </c>
      <c r="S14" s="264"/>
      <c r="T14" s="239" t="str">
        <f>IFERROR((VLOOKUP(S14,'2.Emission reporting overview'!$B$17:$C$18,2,FALSE)),"")</f>
        <v/>
      </c>
      <c r="U14" s="264"/>
      <c r="V14" s="265"/>
      <c r="W14" s="264"/>
      <c r="X14" s="266"/>
      <c r="Y14" s="267"/>
    </row>
    <row r="15" spans="1:26" x14ac:dyDescent="0.25">
      <c r="A15" s="262" t="str">
        <f>'1.Intro'!$B$2</f>
        <v>Select…</v>
      </c>
      <c r="B15" s="262" t="str">
        <f>'1.Intro'!$B$3</f>
        <v>XX</v>
      </c>
      <c r="C15" s="263" t="s">
        <v>10</v>
      </c>
      <c r="D15" s="263" t="s">
        <v>36</v>
      </c>
      <c r="E15" s="263" t="s">
        <v>37</v>
      </c>
      <c r="F15" s="264" t="s">
        <v>99</v>
      </c>
      <c r="G15" s="264"/>
      <c r="H15" s="239" t="str">
        <f>IFERROR((VLOOKUP(G15,'2.Emission reporting overview'!$B$17:$C$18,2,FALSE)),"")</f>
        <v/>
      </c>
      <c r="I15" s="264"/>
      <c r="J15" s="265"/>
      <c r="K15" s="264"/>
      <c r="L15" s="266"/>
      <c r="M15" s="267"/>
      <c r="N15" s="268"/>
      <c r="O15" s="263" t="s">
        <v>484</v>
      </c>
      <c r="P15" s="263" t="s">
        <v>36</v>
      </c>
      <c r="Q15" s="263" t="s">
        <v>37</v>
      </c>
      <c r="R15" s="264" t="s">
        <v>99</v>
      </c>
      <c r="S15" s="264"/>
      <c r="T15" s="239" t="str">
        <f>IFERROR((VLOOKUP(S15,'2.Emission reporting overview'!$B$17:$C$18,2,FALSE)),"")</f>
        <v/>
      </c>
      <c r="U15" s="264"/>
      <c r="V15" s="265"/>
      <c r="W15" s="264"/>
      <c r="X15" s="266"/>
      <c r="Y15" s="267"/>
    </row>
    <row r="16" spans="1:26" ht="15.75" thickBot="1" x14ac:dyDescent="0.3">
      <c r="A16" s="274" t="str">
        <f>'1.Intro'!$B$2</f>
        <v>Select…</v>
      </c>
      <c r="B16" s="274" t="str">
        <f>'1.Intro'!$B$3</f>
        <v>XX</v>
      </c>
      <c r="C16" s="275" t="s">
        <v>10</v>
      </c>
      <c r="D16" s="275" t="s">
        <v>36</v>
      </c>
      <c r="E16" s="275" t="s">
        <v>38</v>
      </c>
      <c r="F16" s="276" t="s">
        <v>99</v>
      </c>
      <c r="G16" s="276"/>
      <c r="H16" s="240" t="str">
        <f>IFERROR((VLOOKUP(G16,'2.Emission reporting overview'!$B$17:$C$18,2,FALSE)),"")</f>
        <v/>
      </c>
      <c r="I16" s="276"/>
      <c r="J16" s="277"/>
      <c r="K16" s="276"/>
      <c r="L16" s="278"/>
      <c r="M16" s="279"/>
      <c r="N16" s="280"/>
      <c r="O16" s="275" t="s">
        <v>484</v>
      </c>
      <c r="P16" s="275" t="s">
        <v>36</v>
      </c>
      <c r="Q16" s="275" t="s">
        <v>38</v>
      </c>
      <c r="R16" s="276" t="s">
        <v>99</v>
      </c>
      <c r="S16" s="276"/>
      <c r="T16" s="240" t="str">
        <f>IFERROR((VLOOKUP(S16,'2.Emission reporting overview'!$B$17:$C$18,2,FALSE)),"")</f>
        <v/>
      </c>
      <c r="U16" s="276"/>
      <c r="V16" s="277"/>
      <c r="W16" s="276"/>
      <c r="X16" s="278"/>
      <c r="Y16" s="279"/>
    </row>
    <row r="17" spans="1:25" x14ac:dyDescent="0.25">
      <c r="A17" s="281" t="str">
        <f>'1.Intro'!$B$2</f>
        <v>Select…</v>
      </c>
      <c r="B17" s="281" t="str">
        <f>'1.Intro'!$B$3</f>
        <v>XX</v>
      </c>
      <c r="C17" s="282" t="s">
        <v>4</v>
      </c>
      <c r="D17" s="255" t="s">
        <v>15</v>
      </c>
      <c r="E17" s="255" t="s">
        <v>229</v>
      </c>
      <c r="F17" s="256" t="s">
        <v>99</v>
      </c>
      <c r="G17" s="256"/>
      <c r="H17" s="241" t="str">
        <f>IFERROR((VLOOKUP(G17,'2.Emission reporting overview'!$B$20:$C$21,2,FALSE)),"")</f>
        <v/>
      </c>
      <c r="I17" s="256"/>
      <c r="J17" s="255"/>
      <c r="K17" s="256"/>
      <c r="L17" s="283"/>
      <c r="M17" s="284"/>
      <c r="N17" s="285"/>
      <c r="O17" s="282" t="s">
        <v>485</v>
      </c>
      <c r="P17" s="255" t="s">
        <v>15</v>
      </c>
      <c r="Q17" s="255" t="s">
        <v>229</v>
      </c>
      <c r="R17" s="256" t="s">
        <v>99</v>
      </c>
      <c r="S17" s="256"/>
      <c r="T17" s="241" t="str">
        <f>IFERROR((VLOOKUP(S17,'2.Emission reporting overview'!$B$20:$C$21,2,FALSE)),"")</f>
        <v/>
      </c>
      <c r="U17" s="256"/>
      <c r="V17" s="255"/>
      <c r="W17" s="256"/>
      <c r="X17" s="283"/>
      <c r="Y17" s="284"/>
    </row>
    <row r="18" spans="1:25" x14ac:dyDescent="0.25">
      <c r="A18" s="286" t="str">
        <f>'1.Intro'!$B$2</f>
        <v>Select…</v>
      </c>
      <c r="B18" s="286" t="str">
        <f>'1.Intro'!$B$3</f>
        <v>XX</v>
      </c>
      <c r="C18" s="287" t="s">
        <v>4</v>
      </c>
      <c r="D18" s="263" t="s">
        <v>21</v>
      </c>
      <c r="E18" s="263" t="s">
        <v>51</v>
      </c>
      <c r="F18" s="264" t="s">
        <v>99</v>
      </c>
      <c r="G18" s="264"/>
      <c r="H18" s="242" t="str">
        <f>IFERROR((VLOOKUP(G18,'2.Emission reporting overview'!$B$20:$C$21,2,FALSE)),"")</f>
        <v/>
      </c>
      <c r="I18" s="264"/>
      <c r="J18" s="263"/>
      <c r="K18" s="264"/>
      <c r="L18" s="288"/>
      <c r="M18" s="289"/>
      <c r="N18" s="290"/>
      <c r="O18" s="287" t="s">
        <v>485</v>
      </c>
      <c r="P18" s="263" t="s">
        <v>21</v>
      </c>
      <c r="Q18" s="263" t="s">
        <v>51</v>
      </c>
      <c r="R18" s="264" t="s">
        <v>99</v>
      </c>
      <c r="S18" s="264"/>
      <c r="T18" s="242" t="str">
        <f>IFERROR((VLOOKUP(S18,'2.Emission reporting overview'!$B$20:$C$21,2,FALSE)),"")</f>
        <v/>
      </c>
      <c r="U18" s="264"/>
      <c r="V18" s="263"/>
      <c r="W18" s="264"/>
      <c r="X18" s="288"/>
      <c r="Y18" s="289"/>
    </row>
    <row r="19" spans="1:25" x14ac:dyDescent="0.25">
      <c r="A19" s="286" t="str">
        <f>'1.Intro'!$B$2</f>
        <v>Select…</v>
      </c>
      <c r="B19" s="286" t="str">
        <f>'1.Intro'!$B$3</f>
        <v>XX</v>
      </c>
      <c r="C19" s="287" t="s">
        <v>4</v>
      </c>
      <c r="D19" s="263" t="s">
        <v>21</v>
      </c>
      <c r="E19" s="263" t="s">
        <v>22</v>
      </c>
      <c r="F19" s="264" t="s">
        <v>99</v>
      </c>
      <c r="G19" s="264"/>
      <c r="H19" s="242" t="str">
        <f>IFERROR((VLOOKUP(G19,'2.Emission reporting overview'!$B$20:$C$21,2,FALSE)),"")</f>
        <v/>
      </c>
      <c r="I19" s="264"/>
      <c r="J19" s="263"/>
      <c r="K19" s="264"/>
      <c r="L19" s="288"/>
      <c r="M19" s="289"/>
      <c r="N19" s="290"/>
      <c r="O19" s="287" t="s">
        <v>485</v>
      </c>
      <c r="P19" s="263" t="s">
        <v>21</v>
      </c>
      <c r="Q19" s="263" t="s">
        <v>22</v>
      </c>
      <c r="R19" s="264" t="s">
        <v>99</v>
      </c>
      <c r="S19" s="264"/>
      <c r="T19" s="242" t="str">
        <f>IFERROR((VLOOKUP(S19,'2.Emission reporting overview'!$B$20:$C$21,2,FALSE)),"")</f>
        <v/>
      </c>
      <c r="U19" s="264"/>
      <c r="V19" s="263"/>
      <c r="W19" s="264"/>
      <c r="X19" s="288"/>
      <c r="Y19" s="289"/>
    </row>
    <row r="20" spans="1:25" x14ac:dyDescent="0.25">
      <c r="A20" s="286" t="str">
        <f>'1.Intro'!$B$2</f>
        <v>Select…</v>
      </c>
      <c r="B20" s="286" t="str">
        <f>'1.Intro'!$B$3</f>
        <v>XX</v>
      </c>
      <c r="C20" s="291" t="s">
        <v>4</v>
      </c>
      <c r="D20" s="263" t="s">
        <v>40</v>
      </c>
      <c r="E20" s="263" t="s">
        <v>41</v>
      </c>
      <c r="F20" s="264" t="s">
        <v>99</v>
      </c>
      <c r="G20" s="264"/>
      <c r="H20" s="242" t="str">
        <f>IFERROR((VLOOKUP(G20,'2.Emission reporting overview'!$B$20:$C$21,2,FALSE)),"")</f>
        <v/>
      </c>
      <c r="I20" s="264"/>
      <c r="J20" s="263"/>
      <c r="K20" s="264"/>
      <c r="L20" s="266"/>
      <c r="M20" s="292"/>
      <c r="N20" s="293"/>
      <c r="O20" s="291" t="s">
        <v>485</v>
      </c>
      <c r="P20" s="263" t="s">
        <v>40</v>
      </c>
      <c r="Q20" s="263" t="s">
        <v>41</v>
      </c>
      <c r="R20" s="264" t="s">
        <v>99</v>
      </c>
      <c r="S20" s="264"/>
      <c r="T20" s="242" t="str">
        <f>IFERROR((VLOOKUP(S20,'2.Emission reporting overview'!$B$20:$C$21,2,FALSE)),"")</f>
        <v/>
      </c>
      <c r="U20" s="264"/>
      <c r="V20" s="263"/>
      <c r="W20" s="264"/>
      <c r="X20" s="266"/>
      <c r="Y20" s="292"/>
    </row>
    <row r="21" spans="1:25" x14ac:dyDescent="0.25">
      <c r="A21" s="286" t="str">
        <f>'1.Intro'!$B$2</f>
        <v>Select…</v>
      </c>
      <c r="B21" s="286" t="str">
        <f>'1.Intro'!$B$3</f>
        <v>XX</v>
      </c>
      <c r="C21" s="291" t="s">
        <v>4</v>
      </c>
      <c r="D21" s="263" t="s">
        <v>40</v>
      </c>
      <c r="E21" s="263" t="s">
        <v>42</v>
      </c>
      <c r="F21" s="264" t="s">
        <v>99</v>
      </c>
      <c r="G21" s="264"/>
      <c r="H21" s="242" t="str">
        <f>IFERROR((VLOOKUP(G21,'2.Emission reporting overview'!$B$20:$C$21,2,FALSE)),"")</f>
        <v/>
      </c>
      <c r="I21" s="264"/>
      <c r="J21" s="263"/>
      <c r="K21" s="264"/>
      <c r="L21" s="266"/>
      <c r="M21" s="292"/>
      <c r="N21" s="293"/>
      <c r="O21" s="291" t="s">
        <v>485</v>
      </c>
      <c r="P21" s="263" t="s">
        <v>40</v>
      </c>
      <c r="Q21" s="263" t="s">
        <v>42</v>
      </c>
      <c r="R21" s="264" t="s">
        <v>99</v>
      </c>
      <c r="S21" s="264"/>
      <c r="T21" s="242" t="str">
        <f>IFERROR((VLOOKUP(S21,'2.Emission reporting overview'!$B$20:$C$21,2,FALSE)),"")</f>
        <v/>
      </c>
      <c r="U21" s="264"/>
      <c r="V21" s="263"/>
      <c r="W21" s="264"/>
      <c r="X21" s="266"/>
      <c r="Y21" s="292"/>
    </row>
    <row r="22" spans="1:25" x14ac:dyDescent="0.25">
      <c r="A22" s="286" t="str">
        <f>'1.Intro'!$B$2</f>
        <v>Select…</v>
      </c>
      <c r="B22" s="286" t="str">
        <f>'1.Intro'!$B$3</f>
        <v>XX</v>
      </c>
      <c r="C22" s="291" t="s">
        <v>4</v>
      </c>
      <c r="D22" s="263" t="s">
        <v>40</v>
      </c>
      <c r="E22" s="263" t="s">
        <v>43</v>
      </c>
      <c r="F22" s="264" t="s">
        <v>99</v>
      </c>
      <c r="G22" s="264"/>
      <c r="H22" s="242" t="str">
        <f>IFERROR((VLOOKUP(G22,'2.Emission reporting overview'!$B$20:$C$21,2,FALSE)),"")</f>
        <v/>
      </c>
      <c r="I22" s="264"/>
      <c r="J22" s="263"/>
      <c r="K22" s="264"/>
      <c r="L22" s="266"/>
      <c r="M22" s="292"/>
      <c r="N22" s="293"/>
      <c r="O22" s="291" t="s">
        <v>485</v>
      </c>
      <c r="P22" s="263" t="s">
        <v>40</v>
      </c>
      <c r="Q22" s="263" t="s">
        <v>43</v>
      </c>
      <c r="R22" s="264" t="s">
        <v>99</v>
      </c>
      <c r="S22" s="264"/>
      <c r="T22" s="242" t="str">
        <f>IFERROR((VLOOKUP(S22,'2.Emission reporting overview'!$B$20:$C$21,2,FALSE)),"")</f>
        <v/>
      </c>
      <c r="U22" s="264"/>
      <c r="V22" s="263"/>
      <c r="W22" s="264"/>
      <c r="X22" s="266"/>
      <c r="Y22" s="292"/>
    </row>
    <row r="23" spans="1:25" x14ac:dyDescent="0.25">
      <c r="A23" s="286" t="str">
        <f>'1.Intro'!$B$2</f>
        <v>Select…</v>
      </c>
      <c r="B23" s="286" t="str">
        <f>'1.Intro'!$B$3</f>
        <v>XX</v>
      </c>
      <c r="C23" s="291" t="s">
        <v>4</v>
      </c>
      <c r="D23" s="263" t="s">
        <v>44</v>
      </c>
      <c r="E23" s="263" t="s">
        <v>45</v>
      </c>
      <c r="F23" s="264" t="s">
        <v>99</v>
      </c>
      <c r="G23" s="264"/>
      <c r="H23" s="242" t="str">
        <f>IFERROR((VLOOKUP(G23,'2.Emission reporting overview'!$B$20:$C$21,2,FALSE)),"")</f>
        <v/>
      </c>
      <c r="I23" s="264"/>
      <c r="J23" s="263"/>
      <c r="K23" s="264"/>
      <c r="L23" s="266"/>
      <c r="M23" s="292"/>
      <c r="N23" s="293"/>
      <c r="O23" s="291" t="s">
        <v>485</v>
      </c>
      <c r="P23" s="263" t="s">
        <v>44</v>
      </c>
      <c r="Q23" s="263" t="s">
        <v>45</v>
      </c>
      <c r="R23" s="264" t="s">
        <v>99</v>
      </c>
      <c r="S23" s="264"/>
      <c r="T23" s="242" t="str">
        <f>IFERROR((VLOOKUP(S23,'2.Emission reporting overview'!$B$20:$C$21,2,FALSE)),"")</f>
        <v/>
      </c>
      <c r="U23" s="264"/>
      <c r="V23" s="263"/>
      <c r="W23" s="264"/>
      <c r="X23" s="266"/>
      <c r="Y23" s="292"/>
    </row>
    <row r="24" spans="1:25" x14ac:dyDescent="0.25">
      <c r="A24" s="286" t="str">
        <f>'1.Intro'!$B$2</f>
        <v>Select…</v>
      </c>
      <c r="B24" s="286" t="str">
        <f>'1.Intro'!$B$3</f>
        <v>XX</v>
      </c>
      <c r="C24" s="291" t="s">
        <v>4</v>
      </c>
      <c r="D24" s="263" t="s">
        <v>44</v>
      </c>
      <c r="E24" s="263" t="s">
        <v>46</v>
      </c>
      <c r="F24" s="264" t="s">
        <v>99</v>
      </c>
      <c r="G24" s="264"/>
      <c r="H24" s="242" t="str">
        <f>IFERROR((VLOOKUP(G24,'2.Emission reporting overview'!$B$20:$C$21,2,FALSE)),"")</f>
        <v/>
      </c>
      <c r="I24" s="264"/>
      <c r="J24" s="263"/>
      <c r="K24" s="264"/>
      <c r="L24" s="266"/>
      <c r="M24" s="292"/>
      <c r="N24" s="293"/>
      <c r="O24" s="291" t="s">
        <v>485</v>
      </c>
      <c r="P24" s="263" t="s">
        <v>44</v>
      </c>
      <c r="Q24" s="263" t="s">
        <v>46</v>
      </c>
      <c r="R24" s="264" t="s">
        <v>99</v>
      </c>
      <c r="S24" s="264"/>
      <c r="T24" s="242" t="str">
        <f>IFERROR((VLOOKUP(S24,'2.Emission reporting overview'!$B$20:$C$21,2,FALSE)),"")</f>
        <v/>
      </c>
      <c r="U24" s="264"/>
      <c r="V24" s="263"/>
      <c r="W24" s="264"/>
      <c r="X24" s="266"/>
      <c r="Y24" s="292"/>
    </row>
    <row r="25" spans="1:25" x14ac:dyDescent="0.25">
      <c r="A25" s="286" t="str">
        <f>'1.Intro'!$B$2</f>
        <v>Select…</v>
      </c>
      <c r="B25" s="286" t="str">
        <f>'1.Intro'!$B$3</f>
        <v>XX</v>
      </c>
      <c r="C25" s="291" t="s">
        <v>4</v>
      </c>
      <c r="D25" s="263" t="s">
        <v>44</v>
      </c>
      <c r="E25" s="263" t="s">
        <v>47</v>
      </c>
      <c r="F25" s="264" t="s">
        <v>99</v>
      </c>
      <c r="G25" s="264"/>
      <c r="H25" s="242" t="str">
        <f>IFERROR((VLOOKUP(G25,'2.Emission reporting overview'!$B$20:$C$21,2,FALSE)),"")</f>
        <v/>
      </c>
      <c r="I25" s="264"/>
      <c r="J25" s="263"/>
      <c r="K25" s="264"/>
      <c r="L25" s="266"/>
      <c r="M25" s="292"/>
      <c r="N25" s="293"/>
      <c r="O25" s="291" t="s">
        <v>485</v>
      </c>
      <c r="P25" s="263" t="s">
        <v>44</v>
      </c>
      <c r="Q25" s="263" t="s">
        <v>47</v>
      </c>
      <c r="R25" s="264" t="s">
        <v>99</v>
      </c>
      <c r="S25" s="264"/>
      <c r="T25" s="242" t="str">
        <f>IFERROR((VLOOKUP(S25,'2.Emission reporting overview'!$B$20:$C$21,2,FALSE)),"")</f>
        <v/>
      </c>
      <c r="U25" s="264"/>
      <c r="V25" s="263"/>
      <c r="W25" s="264"/>
      <c r="X25" s="266"/>
      <c r="Y25" s="292"/>
    </row>
    <row r="26" spans="1:25" x14ac:dyDescent="0.25">
      <c r="A26" s="286" t="str">
        <f>'1.Intro'!$B$2</f>
        <v>Select…</v>
      </c>
      <c r="B26" s="286" t="str">
        <f>'1.Intro'!$B$3</f>
        <v>XX</v>
      </c>
      <c r="C26" s="291" t="s">
        <v>4</v>
      </c>
      <c r="D26" s="263" t="s">
        <v>44</v>
      </c>
      <c r="E26" s="263" t="s">
        <v>48</v>
      </c>
      <c r="F26" s="264" t="s">
        <v>99</v>
      </c>
      <c r="G26" s="264"/>
      <c r="H26" s="242" t="str">
        <f>IFERROR((VLOOKUP(G26,'2.Emission reporting overview'!$B$20:$C$21,2,FALSE)),"")</f>
        <v/>
      </c>
      <c r="I26" s="264"/>
      <c r="J26" s="263"/>
      <c r="K26" s="264"/>
      <c r="L26" s="266"/>
      <c r="M26" s="292"/>
      <c r="N26" s="293"/>
      <c r="O26" s="291" t="s">
        <v>485</v>
      </c>
      <c r="P26" s="263" t="s">
        <v>44</v>
      </c>
      <c r="Q26" s="263" t="s">
        <v>48</v>
      </c>
      <c r="R26" s="264" t="s">
        <v>99</v>
      </c>
      <c r="S26" s="264"/>
      <c r="T26" s="242" t="str">
        <f>IFERROR((VLOOKUP(S26,'2.Emission reporting overview'!$B$20:$C$21,2,FALSE)),"")</f>
        <v/>
      </c>
      <c r="U26" s="264"/>
      <c r="V26" s="263"/>
      <c r="W26" s="264"/>
      <c r="X26" s="266"/>
      <c r="Y26" s="292"/>
    </row>
    <row r="27" spans="1:25" x14ac:dyDescent="0.25">
      <c r="A27" s="286" t="str">
        <f>'1.Intro'!$B$2</f>
        <v>Select…</v>
      </c>
      <c r="B27" s="286" t="str">
        <f>'1.Intro'!$B$3</f>
        <v>XX</v>
      </c>
      <c r="C27" s="291" t="s">
        <v>4</v>
      </c>
      <c r="D27" s="263" t="s">
        <v>44</v>
      </c>
      <c r="E27" s="263" t="s">
        <v>49</v>
      </c>
      <c r="F27" s="264" t="s">
        <v>99</v>
      </c>
      <c r="G27" s="264"/>
      <c r="H27" s="242" t="str">
        <f>IFERROR((VLOOKUP(G27,'2.Emission reporting overview'!$B$20:$C$21,2,FALSE)),"")</f>
        <v/>
      </c>
      <c r="I27" s="264"/>
      <c r="J27" s="263"/>
      <c r="K27" s="264"/>
      <c r="L27" s="266"/>
      <c r="M27" s="292"/>
      <c r="N27" s="293"/>
      <c r="O27" s="291" t="s">
        <v>485</v>
      </c>
      <c r="P27" s="263" t="s">
        <v>44</v>
      </c>
      <c r="Q27" s="263" t="s">
        <v>486</v>
      </c>
      <c r="R27" s="264" t="s">
        <v>99</v>
      </c>
      <c r="S27" s="264"/>
      <c r="T27" s="242" t="str">
        <f>IFERROR((VLOOKUP(S27,'2.Emission reporting overview'!$B$20:$C$21,2,FALSE)),"")</f>
        <v/>
      </c>
      <c r="U27" s="264"/>
      <c r="V27" s="263"/>
      <c r="W27" s="264"/>
      <c r="X27" s="266"/>
      <c r="Y27" s="292"/>
    </row>
    <row r="28" spans="1:25" x14ac:dyDescent="0.25">
      <c r="A28" s="286" t="str">
        <f>'1.Intro'!$B$2</f>
        <v>Select…</v>
      </c>
      <c r="B28" s="286" t="str">
        <f>'1.Intro'!$B$3</f>
        <v>XX</v>
      </c>
      <c r="C28" s="291" t="s">
        <v>4</v>
      </c>
      <c r="D28" s="263" t="s">
        <v>54</v>
      </c>
      <c r="E28" s="263" t="s">
        <v>54</v>
      </c>
      <c r="F28" s="264" t="s">
        <v>99</v>
      </c>
      <c r="G28" s="264"/>
      <c r="H28" s="242" t="str">
        <f>IFERROR((VLOOKUP(G28,'2.Emission reporting overview'!$B$20:$C$21,2,FALSE)),"")</f>
        <v/>
      </c>
      <c r="I28" s="264"/>
      <c r="J28" s="263"/>
      <c r="K28" s="264"/>
      <c r="L28" s="294"/>
      <c r="M28" s="295"/>
      <c r="N28" s="296"/>
      <c r="O28" s="291" t="s">
        <v>485</v>
      </c>
      <c r="P28" s="263" t="s">
        <v>54</v>
      </c>
      <c r="Q28" s="263" t="s">
        <v>54</v>
      </c>
      <c r="R28" s="264" t="s">
        <v>99</v>
      </c>
      <c r="S28" s="264"/>
      <c r="T28" s="242" t="str">
        <f>IFERROR((VLOOKUP(S28,'2.Emission reporting overview'!$B$20:$C$21,2,FALSE)),"")</f>
        <v/>
      </c>
      <c r="U28" s="264"/>
      <c r="V28" s="263"/>
      <c r="W28" s="264"/>
      <c r="X28" s="294"/>
      <c r="Y28" s="295"/>
    </row>
    <row r="29" spans="1:25" x14ac:dyDescent="0.25">
      <c r="A29" s="286" t="str">
        <f>'1.Intro'!$B$2</f>
        <v>Select…</v>
      </c>
      <c r="B29" s="286" t="str">
        <f>'1.Intro'!$B$3</f>
        <v>XX</v>
      </c>
      <c r="C29" s="291" t="s">
        <v>4</v>
      </c>
      <c r="D29" s="297" t="s">
        <v>55</v>
      </c>
      <c r="E29" s="263" t="s">
        <v>55</v>
      </c>
      <c r="F29" s="264" t="s">
        <v>99</v>
      </c>
      <c r="G29" s="264"/>
      <c r="H29" s="242" t="str">
        <f>IFERROR((VLOOKUP(G29,'2.Emission reporting overview'!$B$20:$C$21,2,FALSE)),"")</f>
        <v/>
      </c>
      <c r="I29" s="264"/>
      <c r="J29" s="263"/>
      <c r="K29" s="264"/>
      <c r="L29" s="288"/>
      <c r="M29" s="289"/>
      <c r="N29" s="290"/>
      <c r="O29" s="291" t="s">
        <v>485</v>
      </c>
      <c r="P29" s="297" t="s">
        <v>55</v>
      </c>
      <c r="Q29" s="263" t="s">
        <v>55</v>
      </c>
      <c r="R29" s="264" t="s">
        <v>99</v>
      </c>
      <c r="S29" s="264"/>
      <c r="T29" s="242" t="str">
        <f>IFERROR((VLOOKUP(S29,'2.Emission reporting overview'!$B$20:$C$21,2,FALSE)),"")</f>
        <v/>
      </c>
      <c r="U29" s="264"/>
      <c r="V29" s="263"/>
      <c r="W29" s="264"/>
      <c r="X29" s="288"/>
      <c r="Y29" s="289"/>
    </row>
    <row r="30" spans="1:25" x14ac:dyDescent="0.25">
      <c r="A30" s="286" t="str">
        <f>'1.Intro'!$B$2</f>
        <v>Select…</v>
      </c>
      <c r="B30" s="286" t="str">
        <f>'1.Intro'!$B$3</f>
        <v>XX</v>
      </c>
      <c r="C30" s="291" t="s">
        <v>4</v>
      </c>
      <c r="D30" s="297" t="s">
        <v>64</v>
      </c>
      <c r="E30" s="263" t="s">
        <v>64</v>
      </c>
      <c r="F30" s="264" t="s">
        <v>99</v>
      </c>
      <c r="G30" s="264"/>
      <c r="H30" s="242" t="str">
        <f>IFERROR((VLOOKUP(G30,'2.Emission reporting overview'!$B$20:$C$21,2,FALSE)),"")</f>
        <v/>
      </c>
      <c r="I30" s="264"/>
      <c r="J30" s="263"/>
      <c r="K30" s="264"/>
      <c r="L30" s="288"/>
      <c r="M30" s="289"/>
      <c r="N30" s="290"/>
      <c r="O30" s="291" t="s">
        <v>485</v>
      </c>
      <c r="P30" s="297" t="s">
        <v>64</v>
      </c>
      <c r="Q30" s="263" t="s">
        <v>64</v>
      </c>
      <c r="R30" s="264" t="s">
        <v>99</v>
      </c>
      <c r="S30" s="264"/>
      <c r="T30" s="242" t="str">
        <f>IFERROR((VLOOKUP(S30,'2.Emission reporting overview'!$B$20:$C$21,2,FALSE)),"")</f>
        <v/>
      </c>
      <c r="U30" s="264"/>
      <c r="V30" s="263"/>
      <c r="W30" s="264"/>
      <c r="X30" s="288"/>
      <c r="Y30" s="289"/>
    </row>
    <row r="31" spans="1:25" x14ac:dyDescent="0.25">
      <c r="A31" s="286" t="str">
        <f>'1.Intro'!$B$2</f>
        <v>Select…</v>
      </c>
      <c r="B31" s="286" t="str">
        <f>'1.Intro'!$B$3</f>
        <v>XX</v>
      </c>
      <c r="C31" s="291" t="s">
        <v>4</v>
      </c>
      <c r="D31" s="263" t="s">
        <v>29</v>
      </c>
      <c r="E31" s="263" t="s">
        <v>30</v>
      </c>
      <c r="F31" s="264" t="s">
        <v>99</v>
      </c>
      <c r="G31" s="264"/>
      <c r="H31" s="242" t="str">
        <f>IFERROR((VLOOKUP(G31,'2.Emission reporting overview'!$B$20:$C$21,2,FALSE)),"")</f>
        <v/>
      </c>
      <c r="I31" s="264"/>
      <c r="J31" s="263"/>
      <c r="K31" s="264"/>
      <c r="L31" s="266"/>
      <c r="M31" s="292"/>
      <c r="N31" s="293"/>
      <c r="O31" s="291" t="s">
        <v>485</v>
      </c>
      <c r="P31" s="263" t="s">
        <v>29</v>
      </c>
      <c r="Q31" s="263" t="s">
        <v>30</v>
      </c>
      <c r="R31" s="264" t="s">
        <v>99</v>
      </c>
      <c r="S31" s="264"/>
      <c r="T31" s="242" t="str">
        <f>IFERROR((VLOOKUP(S31,'2.Emission reporting overview'!$B$20:$C$21,2,FALSE)),"")</f>
        <v/>
      </c>
      <c r="U31" s="264"/>
      <c r="V31" s="263"/>
      <c r="W31" s="264"/>
      <c r="X31" s="266"/>
      <c r="Y31" s="292"/>
    </row>
    <row r="32" spans="1:25" x14ac:dyDescent="0.25">
      <c r="A32" s="286" t="str">
        <f>'1.Intro'!$B$2</f>
        <v>Select…</v>
      </c>
      <c r="B32" s="286" t="str">
        <f>'1.Intro'!$B$3</f>
        <v>XX</v>
      </c>
      <c r="C32" s="291" t="s">
        <v>4</v>
      </c>
      <c r="D32" s="263" t="s">
        <v>29</v>
      </c>
      <c r="E32" s="263" t="s">
        <v>31</v>
      </c>
      <c r="F32" s="264" t="s">
        <v>99</v>
      </c>
      <c r="G32" s="264"/>
      <c r="H32" s="242" t="str">
        <f>IFERROR((VLOOKUP(G32,'2.Emission reporting overview'!$B$20:$C$21,2,FALSE)),"")</f>
        <v/>
      </c>
      <c r="I32" s="264"/>
      <c r="J32" s="263"/>
      <c r="K32" s="264"/>
      <c r="L32" s="266"/>
      <c r="M32" s="292"/>
      <c r="N32" s="293"/>
      <c r="O32" s="291" t="s">
        <v>485</v>
      </c>
      <c r="P32" s="263" t="s">
        <v>29</v>
      </c>
      <c r="Q32" s="263" t="s">
        <v>31</v>
      </c>
      <c r="R32" s="264" t="s">
        <v>99</v>
      </c>
      <c r="S32" s="264"/>
      <c r="T32" s="242" t="str">
        <f>IFERROR((VLOOKUP(S32,'2.Emission reporting overview'!$B$20:$C$21,2,FALSE)),"")</f>
        <v/>
      </c>
      <c r="U32" s="264"/>
      <c r="V32" s="263"/>
      <c r="W32" s="264"/>
      <c r="X32" s="266"/>
      <c r="Y32" s="292"/>
    </row>
    <row r="33" spans="1:25" x14ac:dyDescent="0.25">
      <c r="A33" s="286" t="str">
        <f>'1.Intro'!$B$2</f>
        <v>Select…</v>
      </c>
      <c r="B33" s="286" t="str">
        <f>'1.Intro'!$B$3</f>
        <v>XX</v>
      </c>
      <c r="C33" s="291" t="s">
        <v>4</v>
      </c>
      <c r="D33" s="297" t="s">
        <v>34</v>
      </c>
      <c r="E33" s="263" t="s">
        <v>35</v>
      </c>
      <c r="F33" s="264" t="s">
        <v>99</v>
      </c>
      <c r="G33" s="264"/>
      <c r="H33" s="242" t="str">
        <f>IFERROR((VLOOKUP(G33,'2.Emission reporting overview'!$B$20:$C$21,2,FALSE)),"")</f>
        <v/>
      </c>
      <c r="I33" s="264"/>
      <c r="J33" s="263"/>
      <c r="K33" s="264"/>
      <c r="L33" s="288"/>
      <c r="M33" s="289"/>
      <c r="N33" s="290"/>
      <c r="O33" s="291" t="s">
        <v>485</v>
      </c>
      <c r="P33" s="297" t="s">
        <v>34</v>
      </c>
      <c r="Q33" s="263" t="s">
        <v>35</v>
      </c>
      <c r="R33" s="264" t="s">
        <v>99</v>
      </c>
      <c r="S33" s="264"/>
      <c r="T33" s="242" t="str">
        <f>IFERROR((VLOOKUP(S33,'2.Emission reporting overview'!$B$20:$C$21,2,FALSE)),"")</f>
        <v/>
      </c>
      <c r="U33" s="264"/>
      <c r="V33" s="263"/>
      <c r="W33" s="264"/>
      <c r="X33" s="288"/>
      <c r="Y33" s="289"/>
    </row>
    <row r="34" spans="1:25" x14ac:dyDescent="0.25">
      <c r="A34" s="286" t="str">
        <f>'1.Intro'!$B$2</f>
        <v>Select…</v>
      </c>
      <c r="B34" s="286" t="str">
        <f>'1.Intro'!$B$3</f>
        <v>XX</v>
      </c>
      <c r="C34" s="291" t="s">
        <v>4</v>
      </c>
      <c r="D34" s="297" t="s">
        <v>71</v>
      </c>
      <c r="E34" s="263" t="s">
        <v>72</v>
      </c>
      <c r="F34" s="264" t="s">
        <v>99</v>
      </c>
      <c r="G34" s="264"/>
      <c r="H34" s="242" t="str">
        <f>IFERROR((VLOOKUP(G34,'2.Emission reporting overview'!$B$20:$C$21,2,FALSE)),"")</f>
        <v/>
      </c>
      <c r="I34" s="264"/>
      <c r="J34" s="263"/>
      <c r="K34" s="264"/>
      <c r="L34" s="288"/>
      <c r="M34" s="289"/>
      <c r="N34" s="290"/>
      <c r="O34" s="291" t="s">
        <v>485</v>
      </c>
      <c r="P34" s="297" t="s">
        <v>71</v>
      </c>
      <c r="Q34" s="263" t="s">
        <v>72</v>
      </c>
      <c r="R34" s="264" t="s">
        <v>99</v>
      </c>
      <c r="S34" s="264"/>
      <c r="T34" s="242" t="str">
        <f>IFERROR((VLOOKUP(S34,'2.Emission reporting overview'!$B$20:$C$21,2,FALSE)),"")</f>
        <v/>
      </c>
      <c r="U34" s="264"/>
      <c r="V34" s="263"/>
      <c r="W34" s="264"/>
      <c r="X34" s="288"/>
      <c r="Y34" s="289"/>
    </row>
    <row r="35" spans="1:25" x14ac:dyDescent="0.25">
      <c r="A35" s="286" t="str">
        <f>'1.Intro'!$B$2</f>
        <v>Select…</v>
      </c>
      <c r="B35" s="286" t="str">
        <f>'1.Intro'!$B$3</f>
        <v>XX</v>
      </c>
      <c r="C35" s="291" t="s">
        <v>4</v>
      </c>
      <c r="D35" s="297" t="s">
        <v>74</v>
      </c>
      <c r="E35" s="263" t="s">
        <v>74</v>
      </c>
      <c r="F35" s="264" t="s">
        <v>99</v>
      </c>
      <c r="G35" s="264"/>
      <c r="H35" s="242" t="str">
        <f>IFERROR((VLOOKUP(G35,'2.Emission reporting overview'!$B$20:$C$21,2,FALSE)),"")</f>
        <v/>
      </c>
      <c r="I35" s="264"/>
      <c r="J35" s="263"/>
      <c r="K35" s="264"/>
      <c r="L35" s="288"/>
      <c r="M35" s="289"/>
      <c r="N35" s="290"/>
      <c r="O35" s="291" t="s">
        <v>485</v>
      </c>
      <c r="P35" s="297" t="s">
        <v>74</v>
      </c>
      <c r="Q35" s="263" t="s">
        <v>74</v>
      </c>
      <c r="R35" s="264" t="s">
        <v>99</v>
      </c>
      <c r="S35" s="264"/>
      <c r="T35" s="242" t="str">
        <f>IFERROR((VLOOKUP(S35,'2.Emission reporting overview'!$B$20:$C$21,2,FALSE)),"")</f>
        <v/>
      </c>
      <c r="U35" s="264"/>
      <c r="V35" s="263"/>
      <c r="W35" s="264"/>
      <c r="X35" s="288"/>
      <c r="Y35" s="289"/>
    </row>
    <row r="36" spans="1:25" x14ac:dyDescent="0.25">
      <c r="A36" s="286" t="str">
        <f>'1.Intro'!$B$2</f>
        <v>Select…</v>
      </c>
      <c r="B36" s="286" t="str">
        <f>'1.Intro'!$B$3</f>
        <v>XX</v>
      </c>
      <c r="C36" s="291" t="s">
        <v>4</v>
      </c>
      <c r="D36" s="263" t="s">
        <v>36</v>
      </c>
      <c r="E36" s="263" t="s">
        <v>37</v>
      </c>
      <c r="F36" s="264" t="s">
        <v>99</v>
      </c>
      <c r="G36" s="264"/>
      <c r="H36" s="242" t="str">
        <f>IFERROR((VLOOKUP(G36,'2.Emission reporting overview'!$B$20:$C$21,2,FALSE)),"")</f>
        <v/>
      </c>
      <c r="I36" s="264"/>
      <c r="J36" s="263"/>
      <c r="K36" s="264"/>
      <c r="L36" s="266"/>
      <c r="M36" s="292"/>
      <c r="N36" s="293"/>
      <c r="O36" s="291" t="s">
        <v>485</v>
      </c>
      <c r="P36" s="263" t="s">
        <v>36</v>
      </c>
      <c r="Q36" s="263" t="s">
        <v>37</v>
      </c>
      <c r="R36" s="264" t="s">
        <v>99</v>
      </c>
      <c r="S36" s="264"/>
      <c r="T36" s="242" t="str">
        <f>IFERROR((VLOOKUP(S36,'2.Emission reporting overview'!$B$20:$C$21,2,FALSE)),"")</f>
        <v/>
      </c>
      <c r="U36" s="264"/>
      <c r="V36" s="263"/>
      <c r="W36" s="264"/>
      <c r="X36" s="266"/>
      <c r="Y36" s="292"/>
    </row>
    <row r="37" spans="1:25" x14ac:dyDescent="0.25">
      <c r="A37" s="286" t="str">
        <f>'1.Intro'!$B$2</f>
        <v>Select…</v>
      </c>
      <c r="B37" s="286" t="str">
        <f>'1.Intro'!$B$3</f>
        <v>XX</v>
      </c>
      <c r="C37" s="291" t="s">
        <v>4</v>
      </c>
      <c r="D37" s="263" t="s">
        <v>36</v>
      </c>
      <c r="E37" s="263" t="s">
        <v>38</v>
      </c>
      <c r="F37" s="264" t="s">
        <v>99</v>
      </c>
      <c r="G37" s="264"/>
      <c r="H37" s="242" t="str">
        <f>IFERROR((VLOOKUP(G37,'2.Emission reporting overview'!$B$20:$C$21,2,FALSE)),"")</f>
        <v/>
      </c>
      <c r="I37" s="264"/>
      <c r="J37" s="263"/>
      <c r="K37" s="264"/>
      <c r="L37" s="266"/>
      <c r="M37" s="292"/>
      <c r="N37" s="293"/>
      <c r="O37" s="291" t="s">
        <v>485</v>
      </c>
      <c r="P37" s="263" t="s">
        <v>36</v>
      </c>
      <c r="Q37" s="263" t="s">
        <v>38</v>
      </c>
      <c r="R37" s="264" t="s">
        <v>99</v>
      </c>
      <c r="S37" s="264"/>
      <c r="T37" s="242" t="str">
        <f>IFERROR((VLOOKUP(S37,'2.Emission reporting overview'!$B$20:$C$21,2,FALSE)),"")</f>
        <v/>
      </c>
      <c r="U37" s="264"/>
      <c r="V37" s="263"/>
      <c r="W37" s="264"/>
      <c r="X37" s="266"/>
      <c r="Y37" s="292"/>
    </row>
    <row r="38" spans="1:25" ht="15.75" thickBot="1" x14ac:dyDescent="0.3">
      <c r="A38" s="298" t="str">
        <f>'1.Intro'!$B$2</f>
        <v>Select…</v>
      </c>
      <c r="B38" s="298" t="str">
        <f>'1.Intro'!$B$3</f>
        <v>XX</v>
      </c>
      <c r="C38" s="299" t="s">
        <v>4</v>
      </c>
      <c r="D38" s="275" t="s">
        <v>36</v>
      </c>
      <c r="E38" s="275" t="s">
        <v>39</v>
      </c>
      <c r="F38" s="276" t="s">
        <v>99</v>
      </c>
      <c r="G38" s="276"/>
      <c r="H38" s="243" t="str">
        <f>IFERROR((VLOOKUP(G38,'2.Emission reporting overview'!$B$20:$C$21,2,FALSE)),"")</f>
        <v/>
      </c>
      <c r="I38" s="276"/>
      <c r="J38" s="275"/>
      <c r="K38" s="276"/>
      <c r="L38" s="278"/>
      <c r="M38" s="300"/>
      <c r="N38" s="301"/>
      <c r="O38" s="299" t="s">
        <v>485</v>
      </c>
      <c r="P38" s="275" t="s">
        <v>36</v>
      </c>
      <c r="Q38" s="275" t="s">
        <v>39</v>
      </c>
      <c r="R38" s="276" t="s">
        <v>99</v>
      </c>
      <c r="S38" s="276"/>
      <c r="T38" s="243" t="str">
        <f>IFERROR((VLOOKUP(S38,'2.Emission reporting overview'!$B$20:$C$21,2,FALSE)),"")</f>
        <v/>
      </c>
      <c r="U38" s="276"/>
      <c r="V38" s="275"/>
      <c r="W38" s="276"/>
      <c r="X38" s="278"/>
      <c r="Y38" s="300"/>
    </row>
    <row r="39" spans="1:25" x14ac:dyDescent="0.25">
      <c r="A39" s="254" t="str">
        <f>'1.Intro'!$B$2</f>
        <v>Select…</v>
      </c>
      <c r="B39" s="254" t="str">
        <f>'1.Intro'!$B$3</f>
        <v>XX</v>
      </c>
      <c r="C39" s="255" t="s">
        <v>50</v>
      </c>
      <c r="D39" s="255" t="s">
        <v>85</v>
      </c>
      <c r="E39" s="255" t="s">
        <v>86</v>
      </c>
      <c r="F39" s="256" t="s">
        <v>99</v>
      </c>
      <c r="G39" s="256"/>
      <c r="H39" s="241" t="str">
        <f>IFERROR((VLOOKUP(G39,'2.Emission reporting overview'!$B$23:$C$25,2,FALSE)),"")</f>
        <v/>
      </c>
      <c r="I39" s="264"/>
      <c r="J39" s="302"/>
      <c r="K39" s="256"/>
      <c r="L39" s="303"/>
      <c r="M39" s="304"/>
      <c r="N39" s="305"/>
      <c r="O39" s="255" t="s">
        <v>487</v>
      </c>
      <c r="P39" s="255" t="s">
        <v>85</v>
      </c>
      <c r="Q39" s="255" t="s">
        <v>86</v>
      </c>
      <c r="R39" s="256" t="s">
        <v>99</v>
      </c>
      <c r="S39" s="256"/>
      <c r="T39" s="241" t="str">
        <f>IFERROR((VLOOKUP(S39,'2.Emission reporting overview'!$B$23:$C$25,2,FALSE)),"")</f>
        <v/>
      </c>
      <c r="U39" s="264"/>
      <c r="V39" s="302"/>
      <c r="W39" s="256"/>
      <c r="X39" s="303"/>
      <c r="Y39" s="304"/>
    </row>
    <row r="40" spans="1:25" x14ac:dyDescent="0.25">
      <c r="A40" s="262" t="str">
        <f>'1.Intro'!$B$2</f>
        <v>Select…</v>
      </c>
      <c r="B40" s="262" t="str">
        <f>'1.Intro'!$B$3</f>
        <v>XX</v>
      </c>
      <c r="C40" s="263" t="s">
        <v>50</v>
      </c>
      <c r="D40" s="263" t="s">
        <v>85</v>
      </c>
      <c r="E40" s="263" t="s">
        <v>87</v>
      </c>
      <c r="F40" s="264" t="s">
        <v>99</v>
      </c>
      <c r="G40" s="264"/>
      <c r="H40" s="242" t="str">
        <f>IFERROR((VLOOKUP(G40,'2.Emission reporting overview'!$B$23:$C$25,2,FALSE)),"")</f>
        <v/>
      </c>
      <c r="I40" s="264"/>
      <c r="J40" s="265"/>
      <c r="K40" s="264"/>
      <c r="L40" s="306"/>
      <c r="M40" s="307"/>
      <c r="N40" s="308"/>
      <c r="O40" s="263" t="s">
        <v>487</v>
      </c>
      <c r="P40" s="263" t="s">
        <v>85</v>
      </c>
      <c r="Q40" s="263" t="s">
        <v>87</v>
      </c>
      <c r="R40" s="264" t="s">
        <v>99</v>
      </c>
      <c r="S40" s="264"/>
      <c r="T40" s="242" t="str">
        <f>IFERROR((VLOOKUP(S40,'2.Emission reporting overview'!$B$23:$C$25,2,FALSE)),"")</f>
        <v/>
      </c>
      <c r="U40" s="264"/>
      <c r="V40" s="265"/>
      <c r="W40" s="264"/>
      <c r="X40" s="306"/>
      <c r="Y40" s="307"/>
    </row>
    <row r="41" spans="1:25" x14ac:dyDescent="0.25">
      <c r="A41" s="262" t="str">
        <f>'1.Intro'!$B$2</f>
        <v>Select…</v>
      </c>
      <c r="B41" s="262" t="str">
        <f>'1.Intro'!$B$3</f>
        <v>XX</v>
      </c>
      <c r="C41" s="263" t="s">
        <v>50</v>
      </c>
      <c r="D41" s="263" t="s">
        <v>88</v>
      </c>
      <c r="E41" s="263" t="s">
        <v>89</v>
      </c>
      <c r="F41" s="264" t="s">
        <v>99</v>
      </c>
      <c r="G41" s="264"/>
      <c r="H41" s="242" t="str">
        <f>IFERROR((VLOOKUP(G41,'2.Emission reporting overview'!$B$23:$C$25,2,FALSE)),"")</f>
        <v/>
      </c>
      <c r="I41" s="264"/>
      <c r="J41" s="265"/>
      <c r="K41" s="264"/>
      <c r="L41" s="306"/>
      <c r="M41" s="307"/>
      <c r="N41" s="308"/>
      <c r="O41" s="263" t="s">
        <v>487</v>
      </c>
      <c r="P41" s="263" t="s">
        <v>88</v>
      </c>
      <c r="Q41" s="263" t="s">
        <v>89</v>
      </c>
      <c r="R41" s="264" t="s">
        <v>99</v>
      </c>
      <c r="S41" s="264"/>
      <c r="T41" s="242" t="str">
        <f>IFERROR((VLOOKUP(S41,'2.Emission reporting overview'!$B$23:$C$25,2,FALSE)),"")</f>
        <v/>
      </c>
      <c r="U41" s="264"/>
      <c r="V41" s="265"/>
      <c r="W41" s="264"/>
      <c r="X41" s="306"/>
      <c r="Y41" s="307"/>
    </row>
    <row r="42" spans="1:25" x14ac:dyDescent="0.25">
      <c r="A42" s="262" t="str">
        <f>'1.Intro'!$B$2</f>
        <v>Select…</v>
      </c>
      <c r="B42" s="262" t="str">
        <f>'1.Intro'!$B$3</f>
        <v>XX</v>
      </c>
      <c r="C42" s="263" t="s">
        <v>50</v>
      </c>
      <c r="D42" s="263" t="s">
        <v>88</v>
      </c>
      <c r="E42" s="263" t="s">
        <v>90</v>
      </c>
      <c r="F42" s="264" t="s">
        <v>99</v>
      </c>
      <c r="G42" s="264"/>
      <c r="H42" s="242" t="str">
        <f>IFERROR((VLOOKUP(G42,'2.Emission reporting overview'!$B$23:$C$25,2,FALSE)),"")</f>
        <v/>
      </c>
      <c r="I42" s="264"/>
      <c r="J42" s="265"/>
      <c r="K42" s="264"/>
      <c r="L42" s="306"/>
      <c r="M42" s="307"/>
      <c r="N42" s="308"/>
      <c r="O42" s="263" t="s">
        <v>487</v>
      </c>
      <c r="P42" s="263" t="s">
        <v>88</v>
      </c>
      <c r="Q42" s="263" t="s">
        <v>90</v>
      </c>
      <c r="R42" s="264" t="s">
        <v>99</v>
      </c>
      <c r="S42" s="264"/>
      <c r="T42" s="242" t="str">
        <f>IFERROR((VLOOKUP(S42,'2.Emission reporting overview'!$B$23:$C$25,2,FALSE)),"")</f>
        <v/>
      </c>
      <c r="U42" s="264"/>
      <c r="V42" s="265"/>
      <c r="W42" s="264"/>
      <c r="X42" s="306"/>
      <c r="Y42" s="307"/>
    </row>
    <row r="43" spans="1:25" ht="75" x14ac:dyDescent="0.25">
      <c r="A43" s="262" t="str">
        <f>'1.Intro'!$B$2</f>
        <v>Select…</v>
      </c>
      <c r="B43" s="262" t="str">
        <f>'1.Intro'!$B$3</f>
        <v>XX</v>
      </c>
      <c r="C43" s="263" t="s">
        <v>50</v>
      </c>
      <c r="D43" s="263" t="s">
        <v>15</v>
      </c>
      <c r="E43" s="263" t="s">
        <v>16</v>
      </c>
      <c r="F43" s="264" t="s">
        <v>99</v>
      </c>
      <c r="G43" s="264"/>
      <c r="H43" s="242" t="str">
        <f>IFERROR((VLOOKUP(G43,'2.Emission reporting overview'!$B$23:$C$25,2,FALSE)),"")</f>
        <v/>
      </c>
      <c r="I43" s="264"/>
      <c r="J43" s="265"/>
      <c r="K43" s="264"/>
      <c r="L43" s="306"/>
      <c r="M43" s="307"/>
      <c r="N43" s="308"/>
      <c r="O43" s="263" t="s">
        <v>487</v>
      </c>
      <c r="P43" s="263" t="s">
        <v>15</v>
      </c>
      <c r="Q43" s="263" t="s">
        <v>16</v>
      </c>
      <c r="R43" s="264" t="s">
        <v>99</v>
      </c>
      <c r="S43" s="264"/>
      <c r="T43" s="242" t="str">
        <f>IFERROR((VLOOKUP(S43,'2.Emission reporting overview'!$B$23:$C$25,2,FALSE)),"")</f>
        <v/>
      </c>
      <c r="U43" s="264"/>
      <c r="V43" s="265"/>
      <c r="W43" s="264"/>
      <c r="X43" s="306"/>
      <c r="Y43" s="307"/>
    </row>
    <row r="44" spans="1:25" x14ac:dyDescent="0.25">
      <c r="A44" s="262" t="str">
        <f>'1.Intro'!$B$2</f>
        <v>Select…</v>
      </c>
      <c r="B44" s="262" t="str">
        <f>'1.Intro'!$B$3</f>
        <v>XX</v>
      </c>
      <c r="C44" s="263" t="s">
        <v>50</v>
      </c>
      <c r="D44" s="263" t="s">
        <v>21</v>
      </c>
      <c r="E44" s="263" t="s">
        <v>51</v>
      </c>
      <c r="F44" s="264" t="s">
        <v>99</v>
      </c>
      <c r="G44" s="264"/>
      <c r="H44" s="242" t="str">
        <f>IFERROR((VLOOKUP(G44,'2.Emission reporting overview'!$B$23:$C$25,2,FALSE)),"")</f>
        <v/>
      </c>
      <c r="I44" s="264"/>
      <c r="J44" s="265"/>
      <c r="K44" s="264"/>
      <c r="L44" s="306"/>
      <c r="M44" s="307"/>
      <c r="N44" s="308"/>
      <c r="O44" s="263" t="s">
        <v>487</v>
      </c>
      <c r="P44" s="263" t="s">
        <v>21</v>
      </c>
      <c r="Q44" s="263" t="s">
        <v>51</v>
      </c>
      <c r="R44" s="264" t="s">
        <v>99</v>
      </c>
      <c r="S44" s="264"/>
      <c r="T44" s="242" t="str">
        <f>IFERROR((VLOOKUP(S44,'2.Emission reporting overview'!$B$23:$C$25,2,FALSE)),"")</f>
        <v/>
      </c>
      <c r="U44" s="264"/>
      <c r="V44" s="265"/>
      <c r="W44" s="264"/>
      <c r="X44" s="306"/>
      <c r="Y44" s="307"/>
    </row>
    <row r="45" spans="1:25" x14ac:dyDescent="0.25">
      <c r="A45" s="262" t="str">
        <f>'1.Intro'!$B$2</f>
        <v>Select…</v>
      </c>
      <c r="B45" s="262" t="str">
        <f>'1.Intro'!$B$3</f>
        <v>XX</v>
      </c>
      <c r="C45" s="263" t="s">
        <v>50</v>
      </c>
      <c r="D45" s="297" t="s">
        <v>21</v>
      </c>
      <c r="E45" s="297" t="s">
        <v>52</v>
      </c>
      <c r="F45" s="264" t="s">
        <v>99</v>
      </c>
      <c r="G45" s="264"/>
      <c r="H45" s="242" t="str">
        <f>IFERROR((VLOOKUP(G45,'2.Emission reporting overview'!$B$23:$C$25,2,FALSE)),"")</f>
        <v/>
      </c>
      <c r="I45" s="264"/>
      <c r="J45" s="265"/>
      <c r="K45" s="264"/>
      <c r="L45" s="306"/>
      <c r="M45" s="307"/>
      <c r="N45" s="308"/>
      <c r="O45" s="263" t="s">
        <v>487</v>
      </c>
      <c r="P45" s="297" t="s">
        <v>21</v>
      </c>
      <c r="Q45" s="297" t="s">
        <v>52</v>
      </c>
      <c r="R45" s="264" t="s">
        <v>99</v>
      </c>
      <c r="S45" s="264"/>
      <c r="T45" s="242" t="str">
        <f>IFERROR((VLOOKUP(S45,'2.Emission reporting overview'!$B$23:$C$25,2,FALSE)),"")</f>
        <v/>
      </c>
      <c r="U45" s="264"/>
      <c r="V45" s="265"/>
      <c r="W45" s="264"/>
      <c r="X45" s="306"/>
      <c r="Y45" s="307"/>
    </row>
    <row r="46" spans="1:25" x14ac:dyDescent="0.25">
      <c r="A46" s="262" t="str">
        <f>'1.Intro'!$B$2</f>
        <v>Select…</v>
      </c>
      <c r="B46" s="262" t="str">
        <f>'1.Intro'!$B$3</f>
        <v>XX</v>
      </c>
      <c r="C46" s="263" t="s">
        <v>50</v>
      </c>
      <c r="D46" s="263" t="s">
        <v>40</v>
      </c>
      <c r="E46" s="263" t="s">
        <v>41</v>
      </c>
      <c r="F46" s="264" t="s">
        <v>99</v>
      </c>
      <c r="G46" s="264"/>
      <c r="H46" s="242" t="str">
        <f>IFERROR((VLOOKUP(G46,'2.Emission reporting overview'!$B$23:$C$25,2,FALSE)),"")</f>
        <v/>
      </c>
      <c r="I46" s="264"/>
      <c r="J46" s="265"/>
      <c r="K46" s="264"/>
      <c r="L46" s="306"/>
      <c r="M46" s="307"/>
      <c r="N46" s="308"/>
      <c r="O46" s="263" t="s">
        <v>487</v>
      </c>
      <c r="P46" s="263" t="s">
        <v>40</v>
      </c>
      <c r="Q46" s="263" t="s">
        <v>41</v>
      </c>
      <c r="R46" s="264" t="s">
        <v>99</v>
      </c>
      <c r="S46" s="264"/>
      <c r="T46" s="242" t="str">
        <f>IFERROR((VLOOKUP(S46,'2.Emission reporting overview'!$B$23:$C$25,2,FALSE)),"")</f>
        <v/>
      </c>
      <c r="U46" s="264"/>
      <c r="V46" s="265"/>
      <c r="W46" s="264"/>
      <c r="X46" s="306"/>
      <c r="Y46" s="307"/>
    </row>
    <row r="47" spans="1:25" x14ac:dyDescent="0.25">
      <c r="A47" s="262" t="str">
        <f>'1.Intro'!$B$2</f>
        <v>Select…</v>
      </c>
      <c r="B47" s="262" t="str">
        <f>'1.Intro'!$B$3</f>
        <v>XX</v>
      </c>
      <c r="C47" s="263" t="s">
        <v>50</v>
      </c>
      <c r="D47" s="263" t="s">
        <v>40</v>
      </c>
      <c r="E47" s="263" t="s">
        <v>42</v>
      </c>
      <c r="F47" s="264" t="s">
        <v>99</v>
      </c>
      <c r="G47" s="264"/>
      <c r="H47" s="242" t="str">
        <f>IFERROR((VLOOKUP(G47,'2.Emission reporting overview'!$B$23:$C$25,2,FALSE)),"")</f>
        <v/>
      </c>
      <c r="I47" s="264"/>
      <c r="J47" s="265"/>
      <c r="K47" s="264"/>
      <c r="L47" s="306"/>
      <c r="M47" s="307"/>
      <c r="N47" s="308"/>
      <c r="O47" s="263" t="s">
        <v>487</v>
      </c>
      <c r="P47" s="263" t="s">
        <v>40</v>
      </c>
      <c r="Q47" s="263" t="s">
        <v>42</v>
      </c>
      <c r="R47" s="264" t="s">
        <v>99</v>
      </c>
      <c r="S47" s="264"/>
      <c r="T47" s="242" t="str">
        <f>IFERROR((VLOOKUP(S47,'2.Emission reporting overview'!$B$23:$C$25,2,FALSE)),"")</f>
        <v/>
      </c>
      <c r="U47" s="264"/>
      <c r="V47" s="265"/>
      <c r="W47" s="264"/>
      <c r="X47" s="306"/>
      <c r="Y47" s="307"/>
    </row>
    <row r="48" spans="1:25" x14ac:dyDescent="0.25">
      <c r="A48" s="262" t="str">
        <f>'1.Intro'!$B$2</f>
        <v>Select…</v>
      </c>
      <c r="B48" s="262" t="str">
        <f>'1.Intro'!$B$3</f>
        <v>XX</v>
      </c>
      <c r="C48" s="263" t="s">
        <v>50</v>
      </c>
      <c r="D48" s="263" t="s">
        <v>40</v>
      </c>
      <c r="E48" s="263" t="s">
        <v>43</v>
      </c>
      <c r="F48" s="264" t="s">
        <v>99</v>
      </c>
      <c r="G48" s="264"/>
      <c r="H48" s="242" t="str">
        <f>IFERROR((VLOOKUP(G48,'2.Emission reporting overview'!$B$23:$C$25,2,FALSE)),"")</f>
        <v/>
      </c>
      <c r="I48" s="264"/>
      <c r="J48" s="265"/>
      <c r="K48" s="264"/>
      <c r="L48" s="306"/>
      <c r="M48" s="307"/>
      <c r="N48" s="308"/>
      <c r="O48" s="263" t="s">
        <v>487</v>
      </c>
      <c r="P48" s="263" t="s">
        <v>40</v>
      </c>
      <c r="Q48" s="263" t="s">
        <v>43</v>
      </c>
      <c r="R48" s="264" t="s">
        <v>99</v>
      </c>
      <c r="S48" s="264"/>
      <c r="T48" s="242" t="str">
        <f>IFERROR((VLOOKUP(S48,'2.Emission reporting overview'!$B$23:$C$25,2,FALSE)),"")</f>
        <v/>
      </c>
      <c r="U48" s="264"/>
      <c r="V48" s="265"/>
      <c r="W48" s="264"/>
      <c r="X48" s="306"/>
      <c r="Y48" s="307"/>
    </row>
    <row r="49" spans="1:25" x14ac:dyDescent="0.25">
      <c r="A49" s="262" t="str">
        <f>'1.Intro'!$B$2</f>
        <v>Select…</v>
      </c>
      <c r="B49" s="262" t="str">
        <f>'1.Intro'!$B$3</f>
        <v>XX</v>
      </c>
      <c r="C49" s="263" t="s">
        <v>50</v>
      </c>
      <c r="D49" s="297" t="s">
        <v>55</v>
      </c>
      <c r="E49" s="297" t="s">
        <v>55</v>
      </c>
      <c r="F49" s="264" t="s">
        <v>99</v>
      </c>
      <c r="G49" s="264"/>
      <c r="H49" s="244" t="str">
        <f>IFERROR((VLOOKUP(G49,'2.Emission reporting overview'!$B$23:$C$25,2,FALSE)),"")</f>
        <v/>
      </c>
      <c r="I49" s="264"/>
      <c r="J49" s="265"/>
      <c r="K49" s="264"/>
      <c r="L49" s="289"/>
      <c r="M49" s="309"/>
      <c r="N49" s="310"/>
      <c r="O49" s="263" t="s">
        <v>487</v>
      </c>
      <c r="P49" s="297" t="s">
        <v>55</v>
      </c>
      <c r="Q49" s="297" t="s">
        <v>55</v>
      </c>
      <c r="R49" s="264" t="s">
        <v>99</v>
      </c>
      <c r="S49" s="264"/>
      <c r="T49" s="244" t="str">
        <f>IFERROR((VLOOKUP(S49,'2.Emission reporting overview'!$B$23:$C$25,2,FALSE)),"")</f>
        <v/>
      </c>
      <c r="U49" s="264"/>
      <c r="V49" s="265"/>
      <c r="W49" s="264"/>
      <c r="X49" s="289"/>
      <c r="Y49" s="309"/>
    </row>
    <row r="50" spans="1:25" x14ac:dyDescent="0.25">
      <c r="A50" s="262" t="str">
        <f>'1.Intro'!$B$2</f>
        <v>Select…</v>
      </c>
      <c r="B50" s="262" t="str">
        <f>'1.Intro'!$B$3</f>
        <v>XX</v>
      </c>
      <c r="C50" s="263" t="s">
        <v>50</v>
      </c>
      <c r="D50" s="263" t="s">
        <v>56</v>
      </c>
      <c r="E50" s="263" t="s">
        <v>57</v>
      </c>
      <c r="F50" s="264" t="s">
        <v>99</v>
      </c>
      <c r="G50" s="264"/>
      <c r="H50" s="242" t="str">
        <f>IFERROR((VLOOKUP(G50,'2.Emission reporting overview'!$B$23:$C$25,2,FALSE)),"")</f>
        <v/>
      </c>
      <c r="I50" s="264"/>
      <c r="J50" s="265"/>
      <c r="K50" s="264"/>
      <c r="L50" s="306"/>
      <c r="M50" s="307"/>
      <c r="N50" s="308"/>
      <c r="O50" s="263" t="s">
        <v>487</v>
      </c>
      <c r="P50" s="263" t="s">
        <v>56</v>
      </c>
      <c r="Q50" s="263" t="s">
        <v>57</v>
      </c>
      <c r="R50" s="264" t="s">
        <v>99</v>
      </c>
      <c r="S50" s="264"/>
      <c r="T50" s="242" t="str">
        <f>IFERROR((VLOOKUP(S50,'2.Emission reporting overview'!$B$23:$C$25,2,FALSE)),"")</f>
        <v/>
      </c>
      <c r="U50" s="264"/>
      <c r="V50" s="265"/>
      <c r="W50" s="264"/>
      <c r="X50" s="306"/>
      <c r="Y50" s="307"/>
    </row>
    <row r="51" spans="1:25" x14ac:dyDescent="0.25">
      <c r="A51" s="262" t="str">
        <f>'1.Intro'!$B$2</f>
        <v>Select…</v>
      </c>
      <c r="B51" s="262" t="str">
        <f>'1.Intro'!$B$3</f>
        <v>XX</v>
      </c>
      <c r="C51" s="263" t="s">
        <v>50</v>
      </c>
      <c r="D51" s="263" t="s">
        <v>56</v>
      </c>
      <c r="E51" s="263" t="s">
        <v>58</v>
      </c>
      <c r="F51" s="264" t="s">
        <v>99</v>
      </c>
      <c r="G51" s="264"/>
      <c r="H51" s="242" t="str">
        <f>IFERROR((VLOOKUP(G51,'2.Emission reporting overview'!$B$23:$C$25,2,FALSE)),"")</f>
        <v/>
      </c>
      <c r="I51" s="264"/>
      <c r="J51" s="265"/>
      <c r="K51" s="264"/>
      <c r="L51" s="306"/>
      <c r="M51" s="307"/>
      <c r="N51" s="308"/>
      <c r="O51" s="263" t="s">
        <v>487</v>
      </c>
      <c r="P51" s="263" t="s">
        <v>56</v>
      </c>
      <c r="Q51" s="263" t="s">
        <v>58</v>
      </c>
      <c r="R51" s="264" t="s">
        <v>99</v>
      </c>
      <c r="S51" s="264"/>
      <c r="T51" s="242" t="str">
        <f>IFERROR((VLOOKUP(S51,'2.Emission reporting overview'!$B$23:$C$25,2,FALSE)),"")</f>
        <v/>
      </c>
      <c r="U51" s="264"/>
      <c r="V51" s="265"/>
      <c r="W51" s="264"/>
      <c r="X51" s="306"/>
      <c r="Y51" s="307"/>
    </row>
    <row r="52" spans="1:25" x14ac:dyDescent="0.25">
      <c r="A52" s="262" t="str">
        <f>'1.Intro'!$B$2</f>
        <v>Select…</v>
      </c>
      <c r="B52" s="262" t="str">
        <f>'1.Intro'!$B$3</f>
        <v>XX</v>
      </c>
      <c r="C52" s="263" t="s">
        <v>50</v>
      </c>
      <c r="D52" s="263" t="s">
        <v>63</v>
      </c>
      <c r="E52" s="263" t="s">
        <v>63</v>
      </c>
      <c r="F52" s="264" t="s">
        <v>99</v>
      </c>
      <c r="G52" s="264"/>
      <c r="H52" s="242" t="str">
        <f>IFERROR((VLOOKUP(G52,'2.Emission reporting overview'!$B$23:$C$25,2,FALSE)),"")</f>
        <v/>
      </c>
      <c r="I52" s="264"/>
      <c r="J52" s="265"/>
      <c r="K52" s="264"/>
      <c r="L52" s="306"/>
      <c r="M52" s="307"/>
      <c r="N52" s="308"/>
      <c r="O52" s="263" t="s">
        <v>487</v>
      </c>
      <c r="P52" s="263" t="s">
        <v>63</v>
      </c>
      <c r="Q52" s="263" t="s">
        <v>63</v>
      </c>
      <c r="R52" s="264" t="s">
        <v>99</v>
      </c>
      <c r="S52" s="264"/>
      <c r="T52" s="242" t="str">
        <f>IFERROR((VLOOKUP(S52,'2.Emission reporting overview'!$B$23:$C$25,2,FALSE)),"")</f>
        <v/>
      </c>
      <c r="U52" s="264"/>
      <c r="V52" s="265"/>
      <c r="W52" s="264"/>
      <c r="X52" s="306"/>
      <c r="Y52" s="307"/>
    </row>
    <row r="53" spans="1:25" x14ac:dyDescent="0.25">
      <c r="A53" s="262" t="str">
        <f>'1.Intro'!$B$2</f>
        <v>Select…</v>
      </c>
      <c r="B53" s="262" t="str">
        <f>'1.Intro'!$B$3</f>
        <v>XX</v>
      </c>
      <c r="C53" s="263" t="s">
        <v>50</v>
      </c>
      <c r="D53" s="263" t="s">
        <v>29</v>
      </c>
      <c r="E53" s="263" t="s">
        <v>30</v>
      </c>
      <c r="F53" s="264" t="s">
        <v>99</v>
      </c>
      <c r="G53" s="264"/>
      <c r="H53" s="242" t="str">
        <f>IFERROR((VLOOKUP(G53,'2.Emission reporting overview'!$B$23:$C$25,2,FALSE)),"")</f>
        <v/>
      </c>
      <c r="I53" s="264"/>
      <c r="J53" s="265"/>
      <c r="K53" s="264"/>
      <c r="L53" s="306"/>
      <c r="M53" s="307"/>
      <c r="N53" s="308"/>
      <c r="O53" s="263" t="s">
        <v>487</v>
      </c>
      <c r="P53" s="263" t="s">
        <v>29</v>
      </c>
      <c r="Q53" s="263" t="s">
        <v>30</v>
      </c>
      <c r="R53" s="264" t="s">
        <v>99</v>
      </c>
      <c r="S53" s="264"/>
      <c r="T53" s="242" t="str">
        <f>IFERROR((VLOOKUP(S53,'2.Emission reporting overview'!$B$23:$C$25,2,FALSE)),"")</f>
        <v/>
      </c>
      <c r="U53" s="264"/>
      <c r="V53" s="265"/>
      <c r="W53" s="264"/>
      <c r="X53" s="306"/>
      <c r="Y53" s="307"/>
    </row>
    <row r="54" spans="1:25" x14ac:dyDescent="0.25">
      <c r="A54" s="262" t="str">
        <f>'1.Intro'!$B$2</f>
        <v>Select…</v>
      </c>
      <c r="B54" s="262" t="str">
        <f>'1.Intro'!$B$3</f>
        <v>XX</v>
      </c>
      <c r="C54" s="263" t="s">
        <v>50</v>
      </c>
      <c r="D54" s="263" t="s">
        <v>29</v>
      </c>
      <c r="E54" s="263" t="s">
        <v>31</v>
      </c>
      <c r="F54" s="264" t="s">
        <v>99</v>
      </c>
      <c r="G54" s="264"/>
      <c r="H54" s="242" t="str">
        <f>IFERROR((VLOOKUP(G54,'2.Emission reporting overview'!$B$23:$C$25,2,FALSE)),"")</f>
        <v/>
      </c>
      <c r="I54" s="264"/>
      <c r="J54" s="265"/>
      <c r="K54" s="264"/>
      <c r="L54" s="306"/>
      <c r="M54" s="307"/>
      <c r="N54" s="308"/>
      <c r="O54" s="263" t="s">
        <v>487</v>
      </c>
      <c r="P54" s="263" t="s">
        <v>29</v>
      </c>
      <c r="Q54" s="263" t="s">
        <v>31</v>
      </c>
      <c r="R54" s="264" t="s">
        <v>99</v>
      </c>
      <c r="S54" s="264"/>
      <c r="T54" s="242" t="str">
        <f>IFERROR((VLOOKUP(S54,'2.Emission reporting overview'!$B$23:$C$25,2,FALSE)),"")</f>
        <v/>
      </c>
      <c r="U54" s="264"/>
      <c r="V54" s="265"/>
      <c r="W54" s="264"/>
      <c r="X54" s="306"/>
      <c r="Y54" s="307"/>
    </row>
    <row r="55" spans="1:25" x14ac:dyDescent="0.25">
      <c r="A55" s="262" t="str">
        <f>'1.Intro'!$B$2</f>
        <v>Select…</v>
      </c>
      <c r="B55" s="262" t="str">
        <f>'1.Intro'!$B$3</f>
        <v>XX</v>
      </c>
      <c r="C55" s="263" t="s">
        <v>50</v>
      </c>
      <c r="D55" s="263" t="s">
        <v>29</v>
      </c>
      <c r="E55" s="263" t="s">
        <v>65</v>
      </c>
      <c r="F55" s="264" t="s">
        <v>99</v>
      </c>
      <c r="G55" s="264"/>
      <c r="H55" s="242" t="str">
        <f>IFERROR((VLOOKUP(G55,'2.Emission reporting overview'!$B$23:$C$25,2,FALSE)),"")</f>
        <v/>
      </c>
      <c r="I55" s="264"/>
      <c r="J55" s="265"/>
      <c r="K55" s="264"/>
      <c r="L55" s="306"/>
      <c r="M55" s="307"/>
      <c r="N55" s="308"/>
      <c r="O55" s="263" t="s">
        <v>487</v>
      </c>
      <c r="P55" s="263" t="s">
        <v>29</v>
      </c>
      <c r="Q55" s="263" t="s">
        <v>65</v>
      </c>
      <c r="R55" s="264" t="s">
        <v>99</v>
      </c>
      <c r="S55" s="264"/>
      <c r="T55" s="242" t="str">
        <f>IFERROR((VLOOKUP(S55,'2.Emission reporting overview'!$B$23:$C$25,2,FALSE)),"")</f>
        <v/>
      </c>
      <c r="U55" s="264"/>
      <c r="V55" s="265"/>
      <c r="W55" s="264"/>
      <c r="X55" s="306"/>
      <c r="Y55" s="307"/>
    </row>
    <row r="56" spans="1:25" x14ac:dyDescent="0.25">
      <c r="A56" s="262" t="str">
        <f>'1.Intro'!$B$2</f>
        <v>Select…</v>
      </c>
      <c r="B56" s="262" t="str">
        <f>'1.Intro'!$B$3</f>
        <v>XX</v>
      </c>
      <c r="C56" s="263" t="s">
        <v>50</v>
      </c>
      <c r="D56" s="297" t="s">
        <v>34</v>
      </c>
      <c r="E56" s="297" t="s">
        <v>35</v>
      </c>
      <c r="F56" s="264" t="s">
        <v>99</v>
      </c>
      <c r="G56" s="264"/>
      <c r="H56" s="244" t="str">
        <f>IFERROR((VLOOKUP(G56,'2.Emission reporting overview'!$B$23:$C$25,2,FALSE)),"")</f>
        <v/>
      </c>
      <c r="I56" s="264"/>
      <c r="J56" s="265"/>
      <c r="K56" s="264"/>
      <c r="L56" s="289"/>
      <c r="M56" s="309"/>
      <c r="N56" s="310"/>
      <c r="O56" s="263" t="s">
        <v>487</v>
      </c>
      <c r="P56" s="297" t="s">
        <v>34</v>
      </c>
      <c r="Q56" s="297" t="s">
        <v>35</v>
      </c>
      <c r="R56" s="264" t="s">
        <v>99</v>
      </c>
      <c r="S56" s="264"/>
      <c r="T56" s="244" t="str">
        <f>IFERROR((VLOOKUP(S56,'2.Emission reporting overview'!$B$23:$C$25,2,FALSE)),"")</f>
        <v/>
      </c>
      <c r="U56" s="264"/>
      <c r="V56" s="265"/>
      <c r="W56" s="264"/>
      <c r="X56" s="289"/>
      <c r="Y56" s="309"/>
    </row>
    <row r="57" spans="1:25" x14ac:dyDescent="0.25">
      <c r="A57" s="262" t="str">
        <f>'1.Intro'!$B$2</f>
        <v>Select…</v>
      </c>
      <c r="B57" s="262" t="str">
        <f>'1.Intro'!$B$3</f>
        <v>XX</v>
      </c>
      <c r="C57" s="263" t="s">
        <v>50</v>
      </c>
      <c r="D57" s="263" t="s">
        <v>34</v>
      </c>
      <c r="E57" s="263" t="s">
        <v>68</v>
      </c>
      <c r="F57" s="264" t="s">
        <v>99</v>
      </c>
      <c r="G57" s="264"/>
      <c r="H57" s="242" t="str">
        <f>IFERROR((VLOOKUP(G57,'2.Emission reporting overview'!$B$23:$C$25,2,FALSE)),"")</f>
        <v/>
      </c>
      <c r="I57" s="264"/>
      <c r="J57" s="265"/>
      <c r="K57" s="264"/>
      <c r="L57" s="306"/>
      <c r="M57" s="307"/>
      <c r="N57" s="308"/>
      <c r="O57" s="263" t="s">
        <v>487</v>
      </c>
      <c r="P57" s="263" t="s">
        <v>34</v>
      </c>
      <c r="Q57" s="263" t="s">
        <v>68</v>
      </c>
      <c r="R57" s="264" t="s">
        <v>99</v>
      </c>
      <c r="S57" s="264"/>
      <c r="T57" s="242" t="str">
        <f>IFERROR((VLOOKUP(S57,'2.Emission reporting overview'!$B$23:$C$25,2,FALSE)),"")</f>
        <v/>
      </c>
      <c r="U57" s="264"/>
      <c r="V57" s="265"/>
      <c r="W57" s="264"/>
      <c r="X57" s="306"/>
      <c r="Y57" s="307"/>
    </row>
    <row r="58" spans="1:25" x14ac:dyDescent="0.25">
      <c r="A58" s="262" t="str">
        <f>'1.Intro'!$B$2</f>
        <v>Select…</v>
      </c>
      <c r="B58" s="262" t="str">
        <f>'1.Intro'!$B$3</f>
        <v>XX</v>
      </c>
      <c r="C58" s="263" t="s">
        <v>50</v>
      </c>
      <c r="D58" s="263" t="s">
        <v>75</v>
      </c>
      <c r="E58" s="263" t="s">
        <v>75</v>
      </c>
      <c r="F58" s="264" t="s">
        <v>99</v>
      </c>
      <c r="G58" s="264"/>
      <c r="H58" s="242" t="str">
        <f>IFERROR((VLOOKUP(G58,'2.Emission reporting overview'!$B$23:$C$25,2,FALSE)),"")</f>
        <v/>
      </c>
      <c r="I58" s="264"/>
      <c r="J58" s="265"/>
      <c r="K58" s="264"/>
      <c r="L58" s="306"/>
      <c r="M58" s="307"/>
      <c r="N58" s="308"/>
      <c r="O58" s="263" t="s">
        <v>487</v>
      </c>
      <c r="P58" s="263" t="s">
        <v>75</v>
      </c>
      <c r="Q58" s="263" t="s">
        <v>75</v>
      </c>
      <c r="R58" s="264" t="s">
        <v>99</v>
      </c>
      <c r="S58" s="264"/>
      <c r="T58" s="242" t="str">
        <f>IFERROR((VLOOKUP(S58,'2.Emission reporting overview'!$B$23:$C$25,2,FALSE)),"")</f>
        <v/>
      </c>
      <c r="U58" s="264"/>
      <c r="V58" s="265"/>
      <c r="W58" s="264"/>
      <c r="X58" s="306"/>
      <c r="Y58" s="307"/>
    </row>
    <row r="59" spans="1:25" x14ac:dyDescent="0.25">
      <c r="A59" s="262" t="str">
        <f>'1.Intro'!$B$2</f>
        <v>Select…</v>
      </c>
      <c r="B59" s="262" t="str">
        <f>'1.Intro'!$B$3</f>
        <v>XX</v>
      </c>
      <c r="C59" s="263" t="s">
        <v>50</v>
      </c>
      <c r="D59" s="263" t="s">
        <v>36</v>
      </c>
      <c r="E59" s="263" t="s">
        <v>37</v>
      </c>
      <c r="F59" s="264" t="s">
        <v>99</v>
      </c>
      <c r="G59" s="264"/>
      <c r="H59" s="242" t="str">
        <f>IFERROR((VLOOKUP(G59,'2.Emission reporting overview'!$B$23:$C$25,2,FALSE)),"")</f>
        <v/>
      </c>
      <c r="I59" s="264"/>
      <c r="J59" s="265"/>
      <c r="K59" s="264"/>
      <c r="L59" s="306"/>
      <c r="M59" s="307"/>
      <c r="N59" s="308"/>
      <c r="O59" s="263" t="s">
        <v>487</v>
      </c>
      <c r="P59" s="263" t="s">
        <v>36</v>
      </c>
      <c r="Q59" s="263" t="s">
        <v>37</v>
      </c>
      <c r="R59" s="264" t="s">
        <v>99</v>
      </c>
      <c r="S59" s="264"/>
      <c r="T59" s="242" t="str">
        <f>IFERROR((VLOOKUP(S59,'2.Emission reporting overview'!$B$23:$C$25,2,FALSE)),"")</f>
        <v/>
      </c>
      <c r="U59" s="264"/>
      <c r="V59" s="265"/>
      <c r="W59" s="264"/>
      <c r="X59" s="306"/>
      <c r="Y59" s="307"/>
    </row>
    <row r="60" spans="1:25" x14ac:dyDescent="0.25">
      <c r="A60" s="262" t="str">
        <f>'1.Intro'!$B$2</f>
        <v>Select…</v>
      </c>
      <c r="B60" s="262" t="str">
        <f>'1.Intro'!$B$3</f>
        <v>XX</v>
      </c>
      <c r="C60" s="263" t="s">
        <v>50</v>
      </c>
      <c r="D60" s="263" t="s">
        <v>36</v>
      </c>
      <c r="E60" s="263" t="s">
        <v>38</v>
      </c>
      <c r="F60" s="264" t="s">
        <v>99</v>
      </c>
      <c r="G60" s="264"/>
      <c r="H60" s="242" t="str">
        <f>IFERROR((VLOOKUP(G60,'2.Emission reporting overview'!$B$23:$C$25,2,FALSE)),"")</f>
        <v/>
      </c>
      <c r="I60" s="264"/>
      <c r="J60" s="265"/>
      <c r="K60" s="264"/>
      <c r="L60" s="306"/>
      <c r="M60" s="307"/>
      <c r="N60" s="308"/>
      <c r="O60" s="263" t="s">
        <v>487</v>
      </c>
      <c r="P60" s="263" t="s">
        <v>36</v>
      </c>
      <c r="Q60" s="263" t="s">
        <v>38</v>
      </c>
      <c r="R60" s="264" t="s">
        <v>99</v>
      </c>
      <c r="S60" s="264"/>
      <c r="T60" s="242" t="str">
        <f>IFERROR((VLOOKUP(S60,'2.Emission reporting overview'!$B$23:$C$25,2,FALSE)),"")</f>
        <v/>
      </c>
      <c r="U60" s="264"/>
      <c r="V60" s="265"/>
      <c r="W60" s="264"/>
      <c r="X60" s="306"/>
      <c r="Y60" s="307"/>
    </row>
    <row r="61" spans="1:25" x14ac:dyDescent="0.25">
      <c r="A61" s="262" t="str">
        <f>'1.Intro'!$B$2</f>
        <v>Select…</v>
      </c>
      <c r="B61" s="262" t="str">
        <f>'1.Intro'!$B$3</f>
        <v>XX</v>
      </c>
      <c r="C61" s="263" t="s">
        <v>50</v>
      </c>
      <c r="D61" s="263" t="s">
        <v>36</v>
      </c>
      <c r="E61" s="263" t="s">
        <v>39</v>
      </c>
      <c r="F61" s="264" t="s">
        <v>99</v>
      </c>
      <c r="G61" s="264"/>
      <c r="H61" s="242" t="str">
        <f>IFERROR((VLOOKUP(G61,'2.Emission reporting overview'!$B$23:$C$25,2,FALSE)),"")</f>
        <v/>
      </c>
      <c r="I61" s="264"/>
      <c r="J61" s="265"/>
      <c r="K61" s="264"/>
      <c r="L61" s="306"/>
      <c r="M61" s="307"/>
      <c r="N61" s="308"/>
      <c r="O61" s="263" t="s">
        <v>487</v>
      </c>
      <c r="P61" s="263" t="s">
        <v>36</v>
      </c>
      <c r="Q61" s="263" t="s">
        <v>39</v>
      </c>
      <c r="R61" s="264" t="s">
        <v>99</v>
      </c>
      <c r="S61" s="264"/>
      <c r="T61" s="242" t="str">
        <f>IFERROR((VLOOKUP(S61,'2.Emission reporting overview'!$B$23:$C$25,2,FALSE)),"")</f>
        <v/>
      </c>
      <c r="U61" s="264"/>
      <c r="V61" s="265"/>
      <c r="W61" s="264"/>
      <c r="X61" s="306"/>
      <c r="Y61" s="307"/>
    </row>
    <row r="62" spans="1:25" x14ac:dyDescent="0.25">
      <c r="A62" s="262" t="str">
        <f>'1.Intro'!$B$2</f>
        <v>Select…</v>
      </c>
      <c r="B62" s="262" t="str">
        <f>'1.Intro'!$B$3</f>
        <v>XX</v>
      </c>
      <c r="C62" s="263" t="s">
        <v>50</v>
      </c>
      <c r="D62" s="263" t="s">
        <v>76</v>
      </c>
      <c r="E62" s="297" t="s">
        <v>77</v>
      </c>
      <c r="F62" s="264" t="s">
        <v>99</v>
      </c>
      <c r="G62" s="264"/>
      <c r="H62" s="242" t="str">
        <f>IFERROR((VLOOKUP(G62,'2.Emission reporting overview'!$B$23:$C$25,2,FALSE)),"")</f>
        <v/>
      </c>
      <c r="I62" s="264"/>
      <c r="J62" s="265"/>
      <c r="K62" s="264"/>
      <c r="L62" s="306"/>
      <c r="M62" s="307"/>
      <c r="N62" s="308"/>
      <c r="O62" s="263" t="s">
        <v>487</v>
      </c>
      <c r="P62" s="263" t="s">
        <v>76</v>
      </c>
      <c r="Q62" s="297" t="s">
        <v>77</v>
      </c>
      <c r="R62" s="264" t="s">
        <v>99</v>
      </c>
      <c r="S62" s="264"/>
      <c r="T62" s="242" t="str">
        <f>IFERROR((VLOOKUP(S62,'2.Emission reporting overview'!$B$23:$C$25,2,FALSE)),"")</f>
        <v/>
      </c>
      <c r="U62" s="264"/>
      <c r="V62" s="265"/>
      <c r="W62" s="264"/>
      <c r="X62" s="306"/>
      <c r="Y62" s="307"/>
    </row>
    <row r="63" spans="1:25" x14ac:dyDescent="0.25">
      <c r="A63" s="262" t="str">
        <f>'1.Intro'!$B$2</f>
        <v>Select…</v>
      </c>
      <c r="B63" s="262" t="str">
        <f>'1.Intro'!$B$3</f>
        <v>XX</v>
      </c>
      <c r="C63" s="263" t="s">
        <v>50</v>
      </c>
      <c r="D63" s="263" t="s">
        <v>76</v>
      </c>
      <c r="E63" s="263" t="s">
        <v>78</v>
      </c>
      <c r="F63" s="264" t="s">
        <v>99</v>
      </c>
      <c r="G63" s="264"/>
      <c r="H63" s="242" t="str">
        <f>IFERROR((VLOOKUP(G63,'2.Emission reporting overview'!$B$23:$C$25,2,FALSE)),"")</f>
        <v/>
      </c>
      <c r="I63" s="264"/>
      <c r="J63" s="265"/>
      <c r="K63" s="264"/>
      <c r="L63" s="306"/>
      <c r="M63" s="307"/>
      <c r="N63" s="308"/>
      <c r="O63" s="263" t="s">
        <v>487</v>
      </c>
      <c r="P63" s="263" t="s">
        <v>76</v>
      </c>
      <c r="Q63" s="263" t="s">
        <v>78</v>
      </c>
      <c r="R63" s="264" t="s">
        <v>99</v>
      </c>
      <c r="S63" s="264"/>
      <c r="T63" s="242" t="str">
        <f>IFERROR((VLOOKUP(S63,'2.Emission reporting overview'!$B$23:$C$25,2,FALSE)),"")</f>
        <v/>
      </c>
      <c r="U63" s="264"/>
      <c r="V63" s="265"/>
      <c r="W63" s="264"/>
      <c r="X63" s="306"/>
      <c r="Y63" s="307"/>
    </row>
    <row r="64" spans="1:25" x14ac:dyDescent="0.25">
      <c r="A64" s="262" t="str">
        <f>'1.Intro'!$B$2</f>
        <v>Select…</v>
      </c>
      <c r="B64" s="262" t="str">
        <f>'1.Intro'!$B$3</f>
        <v>XX</v>
      </c>
      <c r="C64" s="263" t="s">
        <v>50</v>
      </c>
      <c r="D64" s="263" t="s">
        <v>76</v>
      </c>
      <c r="E64" s="263" t="s">
        <v>79</v>
      </c>
      <c r="F64" s="264" t="s">
        <v>99</v>
      </c>
      <c r="G64" s="264"/>
      <c r="H64" s="242" t="str">
        <f>IFERROR((VLOOKUP(G64,'2.Emission reporting overview'!$B$23:$C$25,2,FALSE)),"")</f>
        <v/>
      </c>
      <c r="I64" s="264"/>
      <c r="J64" s="265"/>
      <c r="K64" s="264"/>
      <c r="L64" s="306"/>
      <c r="M64" s="307"/>
      <c r="N64" s="308"/>
      <c r="O64" s="263" t="s">
        <v>487</v>
      </c>
      <c r="P64" s="263" t="s">
        <v>76</v>
      </c>
      <c r="Q64" s="263" t="s">
        <v>79</v>
      </c>
      <c r="R64" s="264" t="s">
        <v>99</v>
      </c>
      <c r="S64" s="264"/>
      <c r="T64" s="242" t="str">
        <f>IFERROR((VLOOKUP(S64,'2.Emission reporting overview'!$B$23:$C$25,2,FALSE)),"")</f>
        <v/>
      </c>
      <c r="U64" s="264"/>
      <c r="V64" s="265"/>
      <c r="W64" s="264"/>
      <c r="X64" s="306"/>
      <c r="Y64" s="307"/>
    </row>
    <row r="65" spans="1:25" x14ac:dyDescent="0.25">
      <c r="A65" s="262" t="str">
        <f>'1.Intro'!$B$2</f>
        <v>Select…</v>
      </c>
      <c r="B65" s="262" t="str">
        <f>'1.Intro'!$B$3</f>
        <v>XX</v>
      </c>
      <c r="C65" s="263" t="s">
        <v>50</v>
      </c>
      <c r="D65" s="263" t="s">
        <v>76</v>
      </c>
      <c r="E65" s="263" t="s">
        <v>80</v>
      </c>
      <c r="F65" s="264" t="s">
        <v>99</v>
      </c>
      <c r="G65" s="264"/>
      <c r="H65" s="242" t="str">
        <f>IFERROR((VLOOKUP(G65,'2.Emission reporting overview'!$B$23:$C$25,2,FALSE)),"")</f>
        <v/>
      </c>
      <c r="I65" s="264"/>
      <c r="J65" s="265"/>
      <c r="K65" s="264"/>
      <c r="L65" s="306"/>
      <c r="M65" s="307"/>
      <c r="N65" s="308"/>
      <c r="O65" s="263" t="s">
        <v>487</v>
      </c>
      <c r="P65" s="263" t="s">
        <v>76</v>
      </c>
      <c r="Q65" s="263" t="s">
        <v>80</v>
      </c>
      <c r="R65" s="264" t="s">
        <v>99</v>
      </c>
      <c r="S65" s="264"/>
      <c r="T65" s="242" t="str">
        <f>IFERROR((VLOOKUP(S65,'2.Emission reporting overview'!$B$23:$C$25,2,FALSE)),"")</f>
        <v/>
      </c>
      <c r="U65" s="264"/>
      <c r="V65" s="265"/>
      <c r="W65" s="264"/>
      <c r="X65" s="306"/>
      <c r="Y65" s="307"/>
    </row>
    <row r="66" spans="1:25" x14ac:dyDescent="0.25">
      <c r="A66" s="262" t="str">
        <f>'1.Intro'!$B$2</f>
        <v>Select…</v>
      </c>
      <c r="B66" s="262" t="str">
        <f>'1.Intro'!$B$3</f>
        <v>XX</v>
      </c>
      <c r="C66" s="263" t="s">
        <v>50</v>
      </c>
      <c r="D66" s="263" t="s">
        <v>76</v>
      </c>
      <c r="E66" s="263" t="s">
        <v>81</v>
      </c>
      <c r="F66" s="264" t="s">
        <v>99</v>
      </c>
      <c r="G66" s="264"/>
      <c r="H66" s="242" t="str">
        <f>IFERROR((VLOOKUP(G66,'2.Emission reporting overview'!$B$23:$C$25,2,FALSE)),"")</f>
        <v/>
      </c>
      <c r="I66" s="264"/>
      <c r="J66" s="265"/>
      <c r="K66" s="264"/>
      <c r="L66" s="306"/>
      <c r="M66" s="307"/>
      <c r="N66" s="308"/>
      <c r="O66" s="263" t="s">
        <v>487</v>
      </c>
      <c r="P66" s="263" t="s">
        <v>76</v>
      </c>
      <c r="Q66" s="263" t="s">
        <v>81</v>
      </c>
      <c r="R66" s="264" t="s">
        <v>99</v>
      </c>
      <c r="S66" s="264"/>
      <c r="T66" s="242" t="str">
        <f>IFERROR((VLOOKUP(S66,'2.Emission reporting overview'!$B$23:$C$25,2,FALSE)),"")</f>
        <v/>
      </c>
      <c r="U66" s="264"/>
      <c r="V66" s="265"/>
      <c r="W66" s="264"/>
      <c r="X66" s="306"/>
      <c r="Y66" s="307"/>
    </row>
    <row r="67" spans="1:25" x14ac:dyDescent="0.25">
      <c r="A67" s="262" t="str">
        <f>'1.Intro'!$B$2</f>
        <v>Select…</v>
      </c>
      <c r="B67" s="262" t="str">
        <f>'1.Intro'!$B$3</f>
        <v>XX</v>
      </c>
      <c r="C67" s="263" t="s">
        <v>50</v>
      </c>
      <c r="D67" s="263" t="s">
        <v>76</v>
      </c>
      <c r="E67" s="263" t="s">
        <v>82</v>
      </c>
      <c r="F67" s="311" t="s">
        <v>99</v>
      </c>
      <c r="G67" s="264"/>
      <c r="H67" s="242" t="str">
        <f>IFERROR((VLOOKUP(G67,'2.Emission reporting overview'!$B$23:$C$25,2,FALSE)),"")</f>
        <v/>
      </c>
      <c r="I67" s="264"/>
      <c r="J67" s="265"/>
      <c r="K67" s="264"/>
      <c r="L67" s="306"/>
      <c r="M67" s="307"/>
      <c r="N67" s="308"/>
      <c r="O67" s="263" t="s">
        <v>487</v>
      </c>
      <c r="P67" s="263" t="s">
        <v>76</v>
      </c>
      <c r="Q67" s="263" t="s">
        <v>82</v>
      </c>
      <c r="R67" s="311" t="s">
        <v>99</v>
      </c>
      <c r="S67" s="264"/>
      <c r="T67" s="242" t="str">
        <f>IFERROR((VLOOKUP(S67,'2.Emission reporting overview'!$B$23:$C$25,2,FALSE)),"")</f>
        <v/>
      </c>
      <c r="U67" s="264"/>
      <c r="V67" s="265"/>
      <c r="W67" s="264"/>
      <c r="X67" s="306"/>
      <c r="Y67" s="307"/>
    </row>
    <row r="68" spans="1:25" ht="15.75" thickBot="1" x14ac:dyDescent="0.3">
      <c r="A68" s="274" t="str">
        <f>'1.Intro'!$B$2</f>
        <v>Select…</v>
      </c>
      <c r="B68" s="274" t="str">
        <f>'1.Intro'!$B$3</f>
        <v>XX</v>
      </c>
      <c r="C68" s="275" t="s">
        <v>50</v>
      </c>
      <c r="D68" s="275" t="s">
        <v>83</v>
      </c>
      <c r="E68" s="275" t="s">
        <v>84</v>
      </c>
      <c r="F68" s="312" t="s">
        <v>99</v>
      </c>
      <c r="G68" s="276"/>
      <c r="H68" s="243" t="str">
        <f>IFERROR((VLOOKUP(G68,'2.Emission reporting overview'!$B$23:$C$25,2,FALSE)),"")</f>
        <v/>
      </c>
      <c r="I68" s="276"/>
      <c r="J68" s="313"/>
      <c r="K68" s="276"/>
      <c r="L68" s="314"/>
      <c r="M68" s="315"/>
      <c r="N68" s="316"/>
      <c r="O68" s="275" t="s">
        <v>487</v>
      </c>
      <c r="P68" s="275" t="s">
        <v>83</v>
      </c>
      <c r="Q68" s="275" t="s">
        <v>84</v>
      </c>
      <c r="R68" s="312" t="s">
        <v>99</v>
      </c>
      <c r="S68" s="276"/>
      <c r="T68" s="243" t="str">
        <f>IFERROR((VLOOKUP(S68,'2.Emission reporting overview'!$B$23:$C$25,2,FALSE)),"")</f>
        <v/>
      </c>
      <c r="U68" s="276"/>
      <c r="V68" s="313"/>
      <c r="W68" s="276"/>
      <c r="X68" s="314"/>
      <c r="Y68" s="315"/>
    </row>
    <row r="69" spans="1:25" x14ac:dyDescent="0.25">
      <c r="A69" s="262" t="str">
        <f>'1.Intro'!$B$2</f>
        <v>Select…</v>
      </c>
      <c r="B69" s="262" t="str">
        <f>'1.Intro'!$B$3</f>
        <v>XX</v>
      </c>
      <c r="C69" s="263" t="s">
        <v>92</v>
      </c>
      <c r="D69" s="297" t="s">
        <v>88</v>
      </c>
      <c r="E69" s="297" t="s">
        <v>89</v>
      </c>
      <c r="F69" s="317" t="s">
        <v>99</v>
      </c>
      <c r="G69" s="317"/>
      <c r="H69" s="244" t="str">
        <f>IFERROR((VLOOKUP(G69,'2.Emission reporting overview'!$B$27:$C$29,2,FALSE)),"")</f>
        <v/>
      </c>
      <c r="I69" s="258"/>
      <c r="J69" s="265"/>
      <c r="K69" s="264"/>
      <c r="L69" s="289"/>
      <c r="M69" s="309"/>
      <c r="N69" s="310"/>
      <c r="O69" s="263" t="s">
        <v>488</v>
      </c>
      <c r="P69" s="297" t="s">
        <v>88</v>
      </c>
      <c r="Q69" s="297" t="s">
        <v>89</v>
      </c>
      <c r="R69" s="317" t="s">
        <v>99</v>
      </c>
      <c r="S69" s="317"/>
      <c r="T69" s="244" t="str">
        <f>IFERROR((VLOOKUP(S69,'2.Emission reporting overview'!$B$27:$C$29,2,FALSE)),"")</f>
        <v/>
      </c>
      <c r="U69" s="258"/>
      <c r="V69" s="265"/>
      <c r="W69" s="264"/>
      <c r="X69" s="289"/>
      <c r="Y69" s="309"/>
    </row>
    <row r="70" spans="1:25" x14ac:dyDescent="0.25">
      <c r="A70" s="262" t="str">
        <f>'1.Intro'!$B$2</f>
        <v>Select…</v>
      </c>
      <c r="B70" s="262" t="str">
        <f>'1.Intro'!$B$3</f>
        <v>XX</v>
      </c>
      <c r="C70" s="263" t="s">
        <v>92</v>
      </c>
      <c r="D70" s="263" t="s">
        <v>88</v>
      </c>
      <c r="E70" s="263" t="s">
        <v>90</v>
      </c>
      <c r="F70" s="311" t="s">
        <v>99</v>
      </c>
      <c r="G70" s="311"/>
      <c r="H70" s="244" t="str">
        <f>IFERROR((VLOOKUP(G70,'2.Emission reporting overview'!$B$27:$C$29,2,FALSE)),"")</f>
        <v/>
      </c>
      <c r="I70" s="264"/>
      <c r="J70" s="265"/>
      <c r="K70" s="264"/>
      <c r="L70" s="289"/>
      <c r="M70" s="309"/>
      <c r="N70" s="310"/>
      <c r="O70" s="263" t="s">
        <v>488</v>
      </c>
      <c r="P70" s="263" t="s">
        <v>88</v>
      </c>
      <c r="Q70" s="263" t="s">
        <v>90</v>
      </c>
      <c r="R70" s="311" t="s">
        <v>99</v>
      </c>
      <c r="S70" s="311"/>
      <c r="T70" s="244" t="str">
        <f>IFERROR((VLOOKUP(S70,'2.Emission reporting overview'!$B$27:$C$29,2,FALSE)),"")</f>
        <v/>
      </c>
      <c r="U70" s="264"/>
      <c r="V70" s="265"/>
      <c r="W70" s="264"/>
      <c r="X70" s="289"/>
      <c r="Y70" s="309"/>
    </row>
    <row r="71" spans="1:25" x14ac:dyDescent="0.25">
      <c r="A71" s="262" t="str">
        <f>'1.Intro'!$B$2</f>
        <v>Select…</v>
      </c>
      <c r="B71" s="262" t="str">
        <f>'1.Intro'!$B$3</f>
        <v>XX</v>
      </c>
      <c r="C71" s="263" t="s">
        <v>92</v>
      </c>
      <c r="D71" s="263" t="s">
        <v>88</v>
      </c>
      <c r="E71" s="263" t="s">
        <v>93</v>
      </c>
      <c r="F71" s="311" t="s">
        <v>99</v>
      </c>
      <c r="G71" s="311"/>
      <c r="H71" s="244" t="str">
        <f>IFERROR((VLOOKUP(G71,'2.Emission reporting overview'!$B$27:$C$29,2,FALSE)),"")</f>
        <v/>
      </c>
      <c r="I71" s="264"/>
      <c r="J71" s="265"/>
      <c r="K71" s="264"/>
      <c r="L71" s="289"/>
      <c r="M71" s="309"/>
      <c r="N71" s="310"/>
      <c r="O71" s="263" t="s">
        <v>488</v>
      </c>
      <c r="P71" s="263" t="s">
        <v>88</v>
      </c>
      <c r="Q71" s="263" t="s">
        <v>93</v>
      </c>
      <c r="R71" s="311" t="s">
        <v>99</v>
      </c>
      <c r="S71" s="311"/>
      <c r="T71" s="244" t="str">
        <f>IFERROR((VLOOKUP(S71,'2.Emission reporting overview'!$B$27:$C$29,2,FALSE)),"")</f>
        <v/>
      </c>
      <c r="U71" s="264"/>
      <c r="V71" s="265"/>
      <c r="W71" s="264"/>
      <c r="X71" s="289"/>
      <c r="Y71" s="309"/>
    </row>
    <row r="72" spans="1:25" x14ac:dyDescent="0.25">
      <c r="A72" s="262" t="str">
        <f>'1.Intro'!$B$2</f>
        <v>Select…</v>
      </c>
      <c r="B72" s="262" t="str">
        <f>'1.Intro'!$B$3</f>
        <v>XX</v>
      </c>
      <c r="C72" s="263" t="s">
        <v>92</v>
      </c>
      <c r="D72" s="263" t="s">
        <v>94</v>
      </c>
      <c r="E72" s="263" t="s">
        <v>94</v>
      </c>
      <c r="F72" s="311" t="s">
        <v>99</v>
      </c>
      <c r="G72" s="311"/>
      <c r="H72" s="244" t="str">
        <f>IFERROR((VLOOKUP(G72,'2.Emission reporting overview'!$B$27:$C$29,2,FALSE)),"")</f>
        <v/>
      </c>
      <c r="I72" s="264"/>
      <c r="J72" s="265"/>
      <c r="K72" s="264"/>
      <c r="L72" s="289"/>
      <c r="M72" s="309"/>
      <c r="N72" s="310"/>
      <c r="O72" s="263" t="s">
        <v>488</v>
      </c>
      <c r="P72" s="263" t="s">
        <v>94</v>
      </c>
      <c r="Q72" s="263" t="s">
        <v>94</v>
      </c>
      <c r="R72" s="311" t="s">
        <v>99</v>
      </c>
      <c r="S72" s="311"/>
      <c r="T72" s="244" t="str">
        <f>IFERROR((VLOOKUP(S72,'2.Emission reporting overview'!$B$27:$C$29,2,FALSE)),"")</f>
        <v/>
      </c>
      <c r="U72" s="264"/>
      <c r="V72" s="265"/>
      <c r="W72" s="264"/>
      <c r="X72" s="289"/>
      <c r="Y72" s="309"/>
    </row>
    <row r="73" spans="1:25" x14ac:dyDescent="0.25">
      <c r="A73" s="262" t="str">
        <f>'1.Intro'!$B$2</f>
        <v>Select…</v>
      </c>
      <c r="B73" s="262" t="str">
        <f>'1.Intro'!$B$3</f>
        <v>XX</v>
      </c>
      <c r="C73" s="263" t="s">
        <v>92</v>
      </c>
      <c r="D73" s="263" t="s">
        <v>95</v>
      </c>
      <c r="E73" s="263" t="s">
        <v>95</v>
      </c>
      <c r="F73" s="311" t="s">
        <v>99</v>
      </c>
      <c r="G73" s="311"/>
      <c r="H73" s="244" t="str">
        <f>IFERROR((VLOOKUP(G73,'2.Emission reporting overview'!$B$27:$C$29,2,FALSE)),"")</f>
        <v/>
      </c>
      <c r="I73" s="264"/>
      <c r="J73" s="265"/>
      <c r="K73" s="264"/>
      <c r="L73" s="289"/>
      <c r="M73" s="309"/>
      <c r="N73" s="310"/>
      <c r="O73" s="263" t="s">
        <v>488</v>
      </c>
      <c r="P73" s="263" t="s">
        <v>95</v>
      </c>
      <c r="Q73" s="263" t="s">
        <v>95</v>
      </c>
      <c r="R73" s="311" t="s">
        <v>99</v>
      </c>
      <c r="S73" s="311"/>
      <c r="T73" s="244" t="str">
        <f>IFERROR((VLOOKUP(S73,'2.Emission reporting overview'!$B$27:$C$29,2,FALSE)),"")</f>
        <v/>
      </c>
      <c r="U73" s="264"/>
      <c r="V73" s="265"/>
      <c r="W73" s="264"/>
      <c r="X73" s="289"/>
      <c r="Y73" s="309"/>
    </row>
    <row r="74" spans="1:25" x14ac:dyDescent="0.25">
      <c r="A74" s="262" t="str">
        <f>'1.Intro'!$B$2</f>
        <v>Select…</v>
      </c>
      <c r="B74" s="262" t="str">
        <f>'1.Intro'!$B$3</f>
        <v>XX</v>
      </c>
      <c r="C74" s="263" t="s">
        <v>92</v>
      </c>
      <c r="D74" s="263" t="s">
        <v>96</v>
      </c>
      <c r="E74" s="263" t="s">
        <v>96</v>
      </c>
      <c r="F74" s="311" t="s">
        <v>99</v>
      </c>
      <c r="G74" s="311"/>
      <c r="H74" s="244" t="str">
        <f>IFERROR((VLOOKUP(G74,'2.Emission reporting overview'!$B$27:$C$29,2,FALSE)),"")</f>
        <v/>
      </c>
      <c r="I74" s="264"/>
      <c r="J74" s="265"/>
      <c r="K74" s="264"/>
      <c r="L74" s="289"/>
      <c r="M74" s="309"/>
      <c r="N74" s="310"/>
      <c r="O74" s="263" t="s">
        <v>488</v>
      </c>
      <c r="P74" s="263" t="s">
        <v>96</v>
      </c>
      <c r="Q74" s="263" t="s">
        <v>96</v>
      </c>
      <c r="R74" s="311" t="s">
        <v>99</v>
      </c>
      <c r="S74" s="311"/>
      <c r="T74" s="244" t="str">
        <f>IFERROR((VLOOKUP(S74,'2.Emission reporting overview'!$B$27:$C$29,2,FALSE)),"")</f>
        <v/>
      </c>
      <c r="U74" s="264"/>
      <c r="V74" s="265"/>
      <c r="W74" s="264"/>
      <c r="X74" s="289"/>
      <c r="Y74" s="309"/>
    </row>
    <row r="75" spans="1:25" x14ac:dyDescent="0.25">
      <c r="A75" s="262" t="str">
        <f>'1.Intro'!$B$2</f>
        <v>Select…</v>
      </c>
      <c r="B75" s="262" t="str">
        <f>'1.Intro'!$B$3</f>
        <v>XX</v>
      </c>
      <c r="C75" s="263" t="s">
        <v>92</v>
      </c>
      <c r="D75" s="263" t="s">
        <v>53</v>
      </c>
      <c r="E75" s="263" t="s">
        <v>53</v>
      </c>
      <c r="F75" s="311" t="s">
        <v>99</v>
      </c>
      <c r="G75" s="311"/>
      <c r="H75" s="244" t="str">
        <f>IFERROR((VLOOKUP(G75,'2.Emission reporting overview'!$B$27:$C$29,2,FALSE)),"")</f>
        <v/>
      </c>
      <c r="I75" s="264"/>
      <c r="J75" s="265"/>
      <c r="K75" s="264"/>
      <c r="L75" s="289"/>
      <c r="M75" s="309"/>
      <c r="N75" s="310"/>
      <c r="O75" s="263" t="s">
        <v>488</v>
      </c>
      <c r="P75" s="263" t="s">
        <v>53</v>
      </c>
      <c r="Q75" s="263" t="s">
        <v>53</v>
      </c>
      <c r="R75" s="311" t="s">
        <v>99</v>
      </c>
      <c r="S75" s="311"/>
      <c r="T75" s="244" t="str">
        <f>IFERROR((VLOOKUP(S75,'2.Emission reporting overview'!$B$27:$C$29,2,FALSE)),"")</f>
        <v/>
      </c>
      <c r="U75" s="264"/>
      <c r="V75" s="265"/>
      <c r="W75" s="264"/>
      <c r="X75" s="289"/>
      <c r="Y75" s="309"/>
    </row>
    <row r="76" spans="1:25" x14ac:dyDescent="0.25">
      <c r="A76" s="262" t="str">
        <f>'1.Intro'!$B$2</f>
        <v>Select…</v>
      </c>
      <c r="B76" s="262" t="str">
        <f>'1.Intro'!$B$3</f>
        <v>XX</v>
      </c>
      <c r="C76" s="263" t="s">
        <v>92</v>
      </c>
      <c r="D76" s="263" t="s">
        <v>40</v>
      </c>
      <c r="E76" s="263" t="s">
        <v>41</v>
      </c>
      <c r="F76" s="311" t="s">
        <v>99</v>
      </c>
      <c r="G76" s="311"/>
      <c r="H76" s="244" t="str">
        <f>IFERROR((VLOOKUP(G76,'2.Emission reporting overview'!$B$27:$C$29,2,FALSE)),"")</f>
        <v/>
      </c>
      <c r="I76" s="264"/>
      <c r="J76" s="265"/>
      <c r="K76" s="264"/>
      <c r="L76" s="289"/>
      <c r="M76" s="309"/>
      <c r="N76" s="310"/>
      <c r="O76" s="263" t="s">
        <v>488</v>
      </c>
      <c r="P76" s="263" t="s">
        <v>40</v>
      </c>
      <c r="Q76" s="263" t="s">
        <v>41</v>
      </c>
      <c r="R76" s="311" t="s">
        <v>99</v>
      </c>
      <c r="S76" s="311"/>
      <c r="T76" s="244" t="str">
        <f>IFERROR((VLOOKUP(S76,'2.Emission reporting overview'!$B$27:$C$29,2,FALSE)),"")</f>
        <v/>
      </c>
      <c r="U76" s="264"/>
      <c r="V76" s="265"/>
      <c r="W76" s="264"/>
      <c r="X76" s="289"/>
      <c r="Y76" s="309"/>
    </row>
    <row r="77" spans="1:25" x14ac:dyDescent="0.25">
      <c r="A77" s="262" t="str">
        <f>'1.Intro'!$B$2</f>
        <v>Select…</v>
      </c>
      <c r="B77" s="262" t="str">
        <f>'1.Intro'!$B$3</f>
        <v>XX</v>
      </c>
      <c r="C77" s="263" t="s">
        <v>92</v>
      </c>
      <c r="D77" s="263" t="s">
        <v>40</v>
      </c>
      <c r="E77" s="263" t="s">
        <v>42</v>
      </c>
      <c r="F77" s="311" t="s">
        <v>99</v>
      </c>
      <c r="G77" s="311"/>
      <c r="H77" s="244" t="str">
        <f>IFERROR((VLOOKUP(G77,'2.Emission reporting overview'!$B$27:$C$29,2,FALSE)),"")</f>
        <v/>
      </c>
      <c r="I77" s="264"/>
      <c r="J77" s="265"/>
      <c r="K77" s="264"/>
      <c r="L77" s="289"/>
      <c r="M77" s="309"/>
      <c r="N77" s="310"/>
      <c r="O77" s="263" t="s">
        <v>488</v>
      </c>
      <c r="P77" s="263" t="s">
        <v>40</v>
      </c>
      <c r="Q77" s="263" t="s">
        <v>42</v>
      </c>
      <c r="R77" s="311" t="s">
        <v>99</v>
      </c>
      <c r="S77" s="311"/>
      <c r="T77" s="244" t="str">
        <f>IFERROR((VLOOKUP(S77,'2.Emission reporting overview'!$B$27:$C$29,2,FALSE)),"")</f>
        <v/>
      </c>
      <c r="U77" s="264"/>
      <c r="V77" s="265"/>
      <c r="W77" s="264"/>
      <c r="X77" s="289"/>
      <c r="Y77" s="309"/>
    </row>
    <row r="78" spans="1:25" x14ac:dyDescent="0.25">
      <c r="A78" s="262" t="str">
        <f>'1.Intro'!$B$2</f>
        <v>Select…</v>
      </c>
      <c r="B78" s="262" t="str">
        <f>'1.Intro'!$B$3</f>
        <v>XX</v>
      </c>
      <c r="C78" s="263" t="s">
        <v>92</v>
      </c>
      <c r="D78" s="263" t="s">
        <v>40</v>
      </c>
      <c r="E78" s="263" t="s">
        <v>43</v>
      </c>
      <c r="F78" s="311" t="s">
        <v>99</v>
      </c>
      <c r="G78" s="311"/>
      <c r="H78" s="244" t="str">
        <f>IFERROR((VLOOKUP(G78,'2.Emission reporting overview'!$B$27:$C$29,2,FALSE)),"")</f>
        <v/>
      </c>
      <c r="I78" s="264"/>
      <c r="J78" s="265"/>
      <c r="K78" s="264"/>
      <c r="L78" s="289"/>
      <c r="M78" s="309"/>
      <c r="N78" s="310"/>
      <c r="O78" s="263" t="s">
        <v>488</v>
      </c>
      <c r="P78" s="263" t="s">
        <v>40</v>
      </c>
      <c r="Q78" s="263" t="s">
        <v>43</v>
      </c>
      <c r="R78" s="311" t="s">
        <v>99</v>
      </c>
      <c r="S78" s="311"/>
      <c r="T78" s="244" t="str">
        <f>IFERROR((VLOOKUP(S78,'2.Emission reporting overview'!$B$27:$C$29,2,FALSE)),"")</f>
        <v/>
      </c>
      <c r="U78" s="264"/>
      <c r="V78" s="265"/>
      <c r="W78" s="264"/>
      <c r="X78" s="289"/>
      <c r="Y78" s="309"/>
    </row>
    <row r="79" spans="1:25" x14ac:dyDescent="0.25">
      <c r="A79" s="262" t="str">
        <f>'1.Intro'!$B$2</f>
        <v>Select…</v>
      </c>
      <c r="B79" s="262" t="str">
        <f>'1.Intro'!$B$3</f>
        <v>XX</v>
      </c>
      <c r="C79" s="263" t="s">
        <v>92</v>
      </c>
      <c r="D79" s="263" t="s">
        <v>54</v>
      </c>
      <c r="E79" s="263" t="s">
        <v>54</v>
      </c>
      <c r="F79" s="311" t="s">
        <v>99</v>
      </c>
      <c r="G79" s="311"/>
      <c r="H79" s="244" t="str">
        <f>IFERROR((VLOOKUP(G79,'2.Emission reporting overview'!$B$27:$C$29,2,FALSE)),"")</f>
        <v/>
      </c>
      <c r="I79" s="264"/>
      <c r="J79" s="265"/>
      <c r="K79" s="264"/>
      <c r="L79" s="289"/>
      <c r="M79" s="309"/>
      <c r="N79" s="310"/>
      <c r="O79" s="263" t="s">
        <v>488</v>
      </c>
      <c r="P79" s="263" t="s">
        <v>54</v>
      </c>
      <c r="Q79" s="263" t="s">
        <v>54</v>
      </c>
      <c r="R79" s="311" t="s">
        <v>99</v>
      </c>
      <c r="S79" s="311"/>
      <c r="T79" s="244" t="str">
        <f>IFERROR((VLOOKUP(S79,'2.Emission reporting overview'!$B$27:$C$29,2,FALSE)),"")</f>
        <v/>
      </c>
      <c r="U79" s="264"/>
      <c r="V79" s="265"/>
      <c r="W79" s="264"/>
      <c r="X79" s="289"/>
      <c r="Y79" s="309"/>
    </row>
    <row r="80" spans="1:25" x14ac:dyDescent="0.25">
      <c r="A80" s="262" t="str">
        <f>'1.Intro'!$B$2</f>
        <v>Select…</v>
      </c>
      <c r="B80" s="262" t="str">
        <f>'1.Intro'!$B$3</f>
        <v>XX</v>
      </c>
      <c r="C80" s="263" t="s">
        <v>92</v>
      </c>
      <c r="D80" s="263" t="s">
        <v>59</v>
      </c>
      <c r="E80" s="263" t="s">
        <v>60</v>
      </c>
      <c r="F80" s="311" t="s">
        <v>99</v>
      </c>
      <c r="G80" s="311"/>
      <c r="H80" s="244" t="str">
        <f>IFERROR((VLOOKUP(G80,'2.Emission reporting overview'!$B$27:$C$29,2,FALSE)),"")</f>
        <v/>
      </c>
      <c r="I80" s="264"/>
      <c r="J80" s="265"/>
      <c r="K80" s="264"/>
      <c r="L80" s="289"/>
      <c r="M80" s="309"/>
      <c r="N80" s="310"/>
      <c r="O80" s="263" t="s">
        <v>488</v>
      </c>
      <c r="P80" s="263" t="s">
        <v>59</v>
      </c>
      <c r="Q80" s="263" t="s">
        <v>60</v>
      </c>
      <c r="R80" s="311" t="s">
        <v>99</v>
      </c>
      <c r="S80" s="311"/>
      <c r="T80" s="244" t="str">
        <f>IFERROR((VLOOKUP(S80,'2.Emission reporting overview'!$B$27:$C$29,2,FALSE)),"")</f>
        <v/>
      </c>
      <c r="U80" s="264"/>
      <c r="V80" s="265"/>
      <c r="W80" s="264"/>
      <c r="X80" s="289"/>
      <c r="Y80" s="309"/>
    </row>
    <row r="81" spans="1:25" x14ac:dyDescent="0.25">
      <c r="A81" s="262" t="str">
        <f>'1.Intro'!$B$2</f>
        <v>Select…</v>
      </c>
      <c r="B81" s="262" t="str">
        <f>'1.Intro'!$B$3</f>
        <v>XX</v>
      </c>
      <c r="C81" s="263" t="s">
        <v>92</v>
      </c>
      <c r="D81" s="263" t="s">
        <v>61</v>
      </c>
      <c r="E81" s="263" t="s">
        <v>62</v>
      </c>
      <c r="F81" s="311" t="s">
        <v>99</v>
      </c>
      <c r="G81" s="311"/>
      <c r="H81" s="244" t="str">
        <f>IFERROR((VLOOKUP(G81,'2.Emission reporting overview'!$B$27:$C$29,2,FALSE)),"")</f>
        <v/>
      </c>
      <c r="I81" s="264"/>
      <c r="J81" s="265"/>
      <c r="K81" s="264"/>
      <c r="L81" s="289"/>
      <c r="M81" s="309"/>
      <c r="N81" s="310"/>
      <c r="O81" s="263" t="s">
        <v>488</v>
      </c>
      <c r="P81" s="263" t="s">
        <v>61</v>
      </c>
      <c r="Q81" s="263" t="s">
        <v>62</v>
      </c>
      <c r="R81" s="311" t="s">
        <v>99</v>
      </c>
      <c r="S81" s="311"/>
      <c r="T81" s="244" t="str">
        <f>IFERROR((VLOOKUP(S81,'2.Emission reporting overview'!$B$27:$C$29,2,FALSE)),"")</f>
        <v/>
      </c>
      <c r="U81" s="264"/>
      <c r="V81" s="265"/>
      <c r="W81" s="264"/>
      <c r="X81" s="289"/>
      <c r="Y81" s="309"/>
    </row>
    <row r="82" spans="1:25" x14ac:dyDescent="0.25">
      <c r="A82" s="262" t="str">
        <f>'1.Intro'!$B$2</f>
        <v>Select…</v>
      </c>
      <c r="B82" s="262" t="str">
        <f>'1.Intro'!$B$3</f>
        <v>XX</v>
      </c>
      <c r="C82" s="263" t="s">
        <v>92</v>
      </c>
      <c r="D82" s="263" t="s">
        <v>63</v>
      </c>
      <c r="E82" s="263" t="s">
        <v>63</v>
      </c>
      <c r="F82" s="311" t="s">
        <v>99</v>
      </c>
      <c r="G82" s="311"/>
      <c r="H82" s="244" t="str">
        <f>IFERROR((VLOOKUP(G82,'2.Emission reporting overview'!$B$27:$C$29,2,FALSE)),"")</f>
        <v/>
      </c>
      <c r="I82" s="264"/>
      <c r="J82" s="265"/>
      <c r="K82" s="264"/>
      <c r="L82" s="289"/>
      <c r="M82" s="309"/>
      <c r="N82" s="310"/>
      <c r="O82" s="263" t="s">
        <v>488</v>
      </c>
      <c r="P82" s="263" t="s">
        <v>63</v>
      </c>
      <c r="Q82" s="263" t="s">
        <v>63</v>
      </c>
      <c r="R82" s="311" t="s">
        <v>99</v>
      </c>
      <c r="S82" s="311"/>
      <c r="T82" s="244" t="str">
        <f>IFERROR((VLOOKUP(S82,'2.Emission reporting overview'!$B$27:$C$29,2,FALSE)),"")</f>
        <v/>
      </c>
      <c r="U82" s="264"/>
      <c r="V82" s="265"/>
      <c r="W82" s="264"/>
      <c r="X82" s="289"/>
      <c r="Y82" s="309"/>
    </row>
    <row r="83" spans="1:25" x14ac:dyDescent="0.25">
      <c r="A83" s="262" t="str">
        <f>'1.Intro'!$B$2</f>
        <v>Select…</v>
      </c>
      <c r="B83" s="262" t="str">
        <f>'1.Intro'!$B$3</f>
        <v>XX</v>
      </c>
      <c r="C83" s="263" t="s">
        <v>92</v>
      </c>
      <c r="D83" s="263" t="s">
        <v>64</v>
      </c>
      <c r="E83" s="263" t="s">
        <v>64</v>
      </c>
      <c r="F83" s="311" t="s">
        <v>99</v>
      </c>
      <c r="G83" s="311"/>
      <c r="H83" s="244" t="str">
        <f>IFERROR((VLOOKUP(G83,'2.Emission reporting overview'!$B$27:$C$29,2,FALSE)),"")</f>
        <v/>
      </c>
      <c r="I83" s="264"/>
      <c r="J83" s="265"/>
      <c r="K83" s="264"/>
      <c r="L83" s="289"/>
      <c r="M83" s="309"/>
      <c r="N83" s="310"/>
      <c r="O83" s="263" t="s">
        <v>488</v>
      </c>
      <c r="P83" s="263" t="s">
        <v>64</v>
      </c>
      <c r="Q83" s="263" t="s">
        <v>64</v>
      </c>
      <c r="R83" s="311" t="s">
        <v>99</v>
      </c>
      <c r="S83" s="311"/>
      <c r="T83" s="244" t="str">
        <f>IFERROR((VLOOKUP(S83,'2.Emission reporting overview'!$B$27:$C$29,2,FALSE)),"")</f>
        <v/>
      </c>
      <c r="U83" s="264"/>
      <c r="V83" s="265"/>
      <c r="W83" s="264"/>
      <c r="X83" s="289"/>
      <c r="Y83" s="309"/>
    </row>
    <row r="84" spans="1:25" x14ac:dyDescent="0.25">
      <c r="A84" s="262" t="str">
        <f>'1.Intro'!$B$2</f>
        <v>Select…</v>
      </c>
      <c r="B84" s="262" t="str">
        <f>'1.Intro'!$B$3</f>
        <v>XX</v>
      </c>
      <c r="C84" s="263" t="s">
        <v>92</v>
      </c>
      <c r="D84" s="297" t="s">
        <v>66</v>
      </c>
      <c r="E84" s="297" t="s">
        <v>66</v>
      </c>
      <c r="F84" s="311" t="s">
        <v>99</v>
      </c>
      <c r="G84" s="311"/>
      <c r="H84" s="244" t="str">
        <f>IFERROR((VLOOKUP(G84,'2.Emission reporting overview'!$B$27:$C$29,2,FALSE)),"")</f>
        <v/>
      </c>
      <c r="I84" s="264"/>
      <c r="J84" s="265"/>
      <c r="K84" s="264"/>
      <c r="L84" s="289"/>
      <c r="M84" s="309"/>
      <c r="N84" s="310"/>
      <c r="O84" s="263" t="s">
        <v>488</v>
      </c>
      <c r="P84" s="297" t="s">
        <v>66</v>
      </c>
      <c r="Q84" s="297" t="s">
        <v>66</v>
      </c>
      <c r="R84" s="311" t="s">
        <v>99</v>
      </c>
      <c r="S84" s="311"/>
      <c r="T84" s="244" t="str">
        <f>IFERROR((VLOOKUP(S84,'2.Emission reporting overview'!$B$27:$C$29,2,FALSE)),"")</f>
        <v/>
      </c>
      <c r="U84" s="264"/>
      <c r="V84" s="265"/>
      <c r="W84" s="264"/>
      <c r="X84" s="289"/>
      <c r="Y84" s="309"/>
    </row>
    <row r="85" spans="1:25" x14ac:dyDescent="0.25">
      <c r="A85" s="262" t="str">
        <f>'1.Intro'!$B$2</f>
        <v>Select…</v>
      </c>
      <c r="B85" s="262" t="str">
        <f>'1.Intro'!$B$3</f>
        <v>XX</v>
      </c>
      <c r="C85" s="263" t="s">
        <v>92</v>
      </c>
      <c r="D85" s="263" t="s">
        <v>34</v>
      </c>
      <c r="E85" s="263" t="s">
        <v>67</v>
      </c>
      <c r="F85" s="311" t="s">
        <v>99</v>
      </c>
      <c r="G85" s="311"/>
      <c r="H85" s="244" t="str">
        <f>IFERROR((VLOOKUP(G85,'2.Emission reporting overview'!$B$27:$C$29,2,FALSE)),"")</f>
        <v/>
      </c>
      <c r="I85" s="264"/>
      <c r="J85" s="265"/>
      <c r="K85" s="264"/>
      <c r="L85" s="289"/>
      <c r="M85" s="309"/>
      <c r="N85" s="310"/>
      <c r="O85" s="263" t="s">
        <v>488</v>
      </c>
      <c r="P85" s="263" t="s">
        <v>34</v>
      </c>
      <c r="Q85" s="263" t="s">
        <v>67</v>
      </c>
      <c r="R85" s="311" t="s">
        <v>99</v>
      </c>
      <c r="S85" s="311"/>
      <c r="T85" s="244" t="str">
        <f>IFERROR((VLOOKUP(S85,'2.Emission reporting overview'!$B$27:$C$29,2,FALSE)),"")</f>
        <v/>
      </c>
      <c r="U85" s="264"/>
      <c r="V85" s="265"/>
      <c r="W85" s="264"/>
      <c r="X85" s="289"/>
      <c r="Y85" s="309"/>
    </row>
    <row r="86" spans="1:25" x14ac:dyDescent="0.25">
      <c r="A86" s="262" t="str">
        <f>'1.Intro'!$B$2</f>
        <v>Select…</v>
      </c>
      <c r="B86" s="262" t="str">
        <f>'1.Intro'!$B$3</f>
        <v>XX</v>
      </c>
      <c r="C86" s="263" t="s">
        <v>92</v>
      </c>
      <c r="D86" s="263" t="s">
        <v>34</v>
      </c>
      <c r="E86" s="263" t="s">
        <v>69</v>
      </c>
      <c r="F86" s="311" t="s">
        <v>99</v>
      </c>
      <c r="G86" s="311"/>
      <c r="H86" s="244" t="str">
        <f>IFERROR((VLOOKUP(G86,'2.Emission reporting overview'!$B$27:$C$29,2,FALSE)),"")</f>
        <v/>
      </c>
      <c r="I86" s="264"/>
      <c r="J86" s="265"/>
      <c r="K86" s="264"/>
      <c r="L86" s="289"/>
      <c r="M86" s="309"/>
      <c r="N86" s="310"/>
      <c r="O86" s="263" t="s">
        <v>488</v>
      </c>
      <c r="P86" s="263" t="s">
        <v>34</v>
      </c>
      <c r="Q86" s="263" t="s">
        <v>69</v>
      </c>
      <c r="R86" s="311" t="s">
        <v>99</v>
      </c>
      <c r="S86" s="311"/>
      <c r="T86" s="244" t="str">
        <f>IFERROR((VLOOKUP(S86,'2.Emission reporting overview'!$B$27:$C$29,2,FALSE)),"")</f>
        <v/>
      </c>
      <c r="U86" s="264"/>
      <c r="V86" s="265"/>
      <c r="W86" s="264"/>
      <c r="X86" s="289"/>
      <c r="Y86" s="309"/>
    </row>
    <row r="87" spans="1:25" x14ac:dyDescent="0.25">
      <c r="A87" s="262" t="str">
        <f>'1.Intro'!$B$2</f>
        <v>Select…</v>
      </c>
      <c r="B87" s="262" t="str">
        <f>'1.Intro'!$B$3</f>
        <v>XX</v>
      </c>
      <c r="C87" s="263" t="s">
        <v>92</v>
      </c>
      <c r="D87" s="263" t="s">
        <v>70</v>
      </c>
      <c r="E87" s="263" t="s">
        <v>70</v>
      </c>
      <c r="F87" s="311" t="s">
        <v>99</v>
      </c>
      <c r="G87" s="311"/>
      <c r="H87" s="244" t="str">
        <f>IFERROR((VLOOKUP(G87,'2.Emission reporting overview'!$B$27:$C$29,2,FALSE)),"")</f>
        <v/>
      </c>
      <c r="I87" s="264"/>
      <c r="J87" s="265"/>
      <c r="K87" s="264"/>
      <c r="L87" s="289"/>
      <c r="M87" s="309"/>
      <c r="N87" s="310"/>
      <c r="O87" s="263" t="s">
        <v>488</v>
      </c>
      <c r="P87" s="263" t="s">
        <v>70</v>
      </c>
      <c r="Q87" s="263" t="s">
        <v>70</v>
      </c>
      <c r="R87" s="311" t="s">
        <v>99</v>
      </c>
      <c r="S87" s="311"/>
      <c r="T87" s="244" t="str">
        <f>IFERROR((VLOOKUP(S87,'2.Emission reporting overview'!$B$27:$C$29,2,FALSE)),"")</f>
        <v/>
      </c>
      <c r="U87" s="264"/>
      <c r="V87" s="265"/>
      <c r="W87" s="264"/>
      <c r="X87" s="289"/>
      <c r="Y87" s="309"/>
    </row>
    <row r="88" spans="1:25" x14ac:dyDescent="0.25">
      <c r="A88" s="262" t="str">
        <f>'1.Intro'!$B$2</f>
        <v>Select…</v>
      </c>
      <c r="B88" s="262" t="str">
        <f>'1.Intro'!$B$3</f>
        <v>XX</v>
      </c>
      <c r="C88" s="263" t="s">
        <v>92</v>
      </c>
      <c r="D88" s="263" t="s">
        <v>71</v>
      </c>
      <c r="E88" s="263" t="s">
        <v>72</v>
      </c>
      <c r="F88" s="311" t="s">
        <v>99</v>
      </c>
      <c r="G88" s="311"/>
      <c r="H88" s="244" t="str">
        <f>IFERROR((VLOOKUP(G88,'2.Emission reporting overview'!$B$27:$C$29,2,FALSE)),"")</f>
        <v/>
      </c>
      <c r="I88" s="264"/>
      <c r="J88" s="265"/>
      <c r="K88" s="264"/>
      <c r="L88" s="289"/>
      <c r="M88" s="309"/>
      <c r="N88" s="310"/>
      <c r="O88" s="263" t="s">
        <v>488</v>
      </c>
      <c r="P88" s="263" t="s">
        <v>71</v>
      </c>
      <c r="Q88" s="263" t="s">
        <v>72</v>
      </c>
      <c r="R88" s="311" t="s">
        <v>99</v>
      </c>
      <c r="S88" s="311"/>
      <c r="T88" s="244" t="str">
        <f>IFERROR((VLOOKUP(S88,'2.Emission reporting overview'!$B$27:$C$29,2,FALSE)),"")</f>
        <v/>
      </c>
      <c r="U88" s="264"/>
      <c r="V88" s="265"/>
      <c r="W88" s="264"/>
      <c r="X88" s="289"/>
      <c r="Y88" s="309"/>
    </row>
    <row r="89" spans="1:25" x14ac:dyDescent="0.25">
      <c r="A89" s="262" t="str">
        <f>'1.Intro'!$B$2</f>
        <v>Select…</v>
      </c>
      <c r="B89" s="262" t="str">
        <f>'1.Intro'!$B$3</f>
        <v>XX</v>
      </c>
      <c r="C89" s="263" t="s">
        <v>92</v>
      </c>
      <c r="D89" s="263" t="s">
        <v>71</v>
      </c>
      <c r="E89" s="263" t="s">
        <v>73</v>
      </c>
      <c r="F89" s="311" t="s">
        <v>99</v>
      </c>
      <c r="G89" s="311"/>
      <c r="H89" s="244" t="str">
        <f>IFERROR((VLOOKUP(G89,'2.Emission reporting overview'!$B$27:$C$29,2,FALSE)),"")</f>
        <v/>
      </c>
      <c r="I89" s="264"/>
      <c r="J89" s="265"/>
      <c r="K89" s="264"/>
      <c r="L89" s="289"/>
      <c r="M89" s="309"/>
      <c r="N89" s="310"/>
      <c r="O89" s="263" t="s">
        <v>488</v>
      </c>
      <c r="P89" s="263" t="s">
        <v>71</v>
      </c>
      <c r="Q89" s="263" t="s">
        <v>73</v>
      </c>
      <c r="R89" s="311" t="s">
        <v>99</v>
      </c>
      <c r="S89" s="311"/>
      <c r="T89" s="244" t="str">
        <f>IFERROR((VLOOKUP(S89,'2.Emission reporting overview'!$B$27:$C$29,2,FALSE)),"")</f>
        <v/>
      </c>
      <c r="U89" s="264"/>
      <c r="V89" s="265"/>
      <c r="W89" s="264"/>
      <c r="X89" s="289"/>
      <c r="Y89" s="309"/>
    </row>
    <row r="90" spans="1:25" ht="15.75" thickBot="1" x14ac:dyDescent="0.3">
      <c r="A90" s="274" t="str">
        <f>'1.Intro'!$B$2</f>
        <v>Select…</v>
      </c>
      <c r="B90" s="274" t="str">
        <f>'1.Intro'!$B$3</f>
        <v>XX</v>
      </c>
      <c r="C90" s="275" t="s">
        <v>92</v>
      </c>
      <c r="D90" s="275" t="s">
        <v>74</v>
      </c>
      <c r="E90" s="275" t="s">
        <v>74</v>
      </c>
      <c r="F90" s="312" t="s">
        <v>99</v>
      </c>
      <c r="G90" s="312"/>
      <c r="H90" s="243" t="str">
        <f>IFERROR((VLOOKUP(G90,'2.Emission reporting overview'!$B$27:$C$29,2,FALSE)),"")</f>
        <v/>
      </c>
      <c r="I90" s="276"/>
      <c r="J90" s="277"/>
      <c r="K90" s="276"/>
      <c r="L90" s="318"/>
      <c r="M90" s="319"/>
      <c r="N90" s="320"/>
      <c r="O90" s="275" t="s">
        <v>488</v>
      </c>
      <c r="P90" s="275" t="s">
        <v>74</v>
      </c>
      <c r="Q90" s="275" t="s">
        <v>74</v>
      </c>
      <c r="R90" s="312" t="s">
        <v>99</v>
      </c>
      <c r="S90" s="312"/>
      <c r="T90" s="243" t="str">
        <f>IFERROR((VLOOKUP(S90,'2.Emission reporting overview'!$B$27:$C$29,2,FALSE)),"")</f>
        <v/>
      </c>
      <c r="U90" s="276"/>
      <c r="V90" s="277"/>
      <c r="W90" s="276"/>
      <c r="X90" s="318"/>
      <c r="Y90" s="319"/>
    </row>
    <row r="102" spans="13:14" x14ac:dyDescent="0.25">
      <c r="M102" s="321"/>
      <c r="N102" s="321"/>
    </row>
  </sheetData>
  <dataValidations count="1">
    <dataValidation type="list" allowBlank="1" showInputMessage="1" showErrorMessage="1" sqref="F2:F90 R2:R90" xr:uid="{953B49B9-3242-4DCA-A9C7-890808B6DFFC}">
      <formula1>KEUZE</formula1>
    </dataValidation>
  </dataValidations>
  <pageMargins left="0.7" right="0.7" top="0.75" bottom="0.75" header="0.3" footer="0.3"/>
  <pageSetup paperSize="9" orientation="portrait" r:id="rId1"/>
  <headerFooter>
    <oddFooter>&amp;L&amp;1#&amp;"Calibri"&amp;10&amp;K000000TOTAL Classification: Restricted Distribution TOTAL - All rights reserved</oddFooter>
  </headerFooter>
  <extLst>
    <ext xmlns:x14="http://schemas.microsoft.com/office/spreadsheetml/2009/9/main" uri="{CCE6A557-97BC-4b89-ADB6-D9C93CAAB3DF}">
      <x14:dataValidations xmlns:xm="http://schemas.microsoft.com/office/excel/2006/main" count="6">
        <x14:dataValidation type="list" allowBlank="1" showInputMessage="1" showErrorMessage="1" xr:uid="{83B8C5F0-03C5-4906-8093-28AE86E26D2A}">
          <x14:formula1>
            <xm:f>IF(F2=Sheet4!$A$1,LIST,Sheet4!$E$4)</xm:f>
          </x14:formula1>
          <xm:sqref>G2:G16 G18:G38 S2:S16 S18:S38</xm:sqref>
        </x14:dataValidation>
        <x14:dataValidation type="list" allowBlank="1" showInputMessage="1" showErrorMessage="1" xr:uid="{0D4DA2D5-51CF-4813-9AB0-796ADF53DE96}">
          <x14:formula1>
            <xm:f>IF(F17=Sheet4!$A$1,LIST2,Sheet4!$G$4)</xm:f>
          </x14:formula1>
          <xm:sqref>G17 S17</xm:sqref>
        </x14:dataValidation>
        <x14:dataValidation type="list" allowBlank="1" showInputMessage="1" showErrorMessage="1" xr:uid="{5036AFCF-C47D-46C3-AEAE-3EFC8090B3D5}">
          <x14:formula1>
            <xm:f>Sheet4!$A$1:$A$2</xm:f>
          </x14:formula1>
          <xm:sqref>G66:G68 S66:S68</xm:sqref>
        </x14:dataValidation>
        <x14:dataValidation type="list" allowBlank="1" showInputMessage="1" showErrorMessage="1" xr:uid="{D761D290-7060-46A3-99C9-FB2DAED3B23C}">
          <x14:formula1>
            <xm:f>IF(F39=Sheet4!$A$1,LIST3,Sheet4!$I$5)</xm:f>
          </x14:formula1>
          <xm:sqref>G39:G65 S39:S65</xm:sqref>
        </x14:dataValidation>
        <x14:dataValidation type="list" allowBlank="1" showInputMessage="1" showErrorMessage="1" xr:uid="{2B73C38E-F898-41EE-91A1-C3526AE9C810}">
          <x14:formula1>
            <xm:f>IF(F69=Sheet4!$A$1,LIST4,Sheet4!$K$5)</xm:f>
          </x14:formula1>
          <xm:sqref>G69:G90 S69:S90</xm:sqref>
        </x14:dataValidation>
        <x14:dataValidation type="list" allowBlank="1" showInputMessage="1" showErrorMessage="1" xr:uid="{9667F22B-14DE-47B2-BD0C-D1933189E2D3}">
          <x14:formula1>
            <xm:f>Sheet4!$O$2:$O$7</xm:f>
          </x14:formula1>
          <xm:sqref>I2:I90 U2:U90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
  <sheetViews>
    <sheetView workbookViewId="0">
      <selection activeCell="C18" sqref="C18"/>
    </sheetView>
  </sheetViews>
  <sheetFormatPr defaultColWidth="8.7109375" defaultRowHeight="15" x14ac:dyDescent="0.25"/>
  <cols>
    <col min="3" max="3" width="33.28515625" bestFit="1" customWidth="1"/>
    <col min="7" max="7" width="13.42578125" bestFit="1" customWidth="1"/>
  </cols>
  <sheetData>
    <row r="1" spans="1:15" x14ac:dyDescent="0.25">
      <c r="A1" t="s">
        <v>98</v>
      </c>
      <c r="C1" t="s">
        <v>212</v>
      </c>
      <c r="E1" t="s">
        <v>208</v>
      </c>
      <c r="G1" t="s">
        <v>121</v>
      </c>
      <c r="I1" t="s">
        <v>76</v>
      </c>
      <c r="K1" t="s">
        <v>209</v>
      </c>
      <c r="O1" t="s">
        <v>222</v>
      </c>
    </row>
    <row r="2" spans="1:15" x14ac:dyDescent="0.25">
      <c r="A2" t="s">
        <v>99</v>
      </c>
      <c r="C2" t="s">
        <v>192</v>
      </c>
      <c r="E2" t="s">
        <v>3</v>
      </c>
      <c r="G2" t="s">
        <v>216</v>
      </c>
      <c r="I2" t="s">
        <v>3</v>
      </c>
      <c r="K2" t="s">
        <v>6</v>
      </c>
      <c r="O2" t="s">
        <v>223</v>
      </c>
    </row>
    <row r="3" spans="1:15" x14ac:dyDescent="0.25">
      <c r="C3" t="s">
        <v>193</v>
      </c>
      <c r="E3" t="s">
        <v>215</v>
      </c>
      <c r="G3" t="s">
        <v>215</v>
      </c>
      <c r="I3" t="s">
        <v>219</v>
      </c>
      <c r="K3" t="s">
        <v>7</v>
      </c>
      <c r="O3" t="s">
        <v>224</v>
      </c>
    </row>
    <row r="4" spans="1:15" x14ac:dyDescent="0.25">
      <c r="C4" t="s">
        <v>364</v>
      </c>
      <c r="E4" t="s">
        <v>221</v>
      </c>
      <c r="G4" t="s">
        <v>221</v>
      </c>
      <c r="I4" t="s">
        <v>217</v>
      </c>
      <c r="K4" t="s">
        <v>210</v>
      </c>
      <c r="O4" s="27" t="s">
        <v>225</v>
      </c>
    </row>
    <row r="5" spans="1:15" x14ac:dyDescent="0.25">
      <c r="C5" t="s">
        <v>194</v>
      </c>
      <c r="F5" t="s">
        <v>221</v>
      </c>
      <c r="I5" t="s">
        <v>221</v>
      </c>
      <c r="K5" t="s">
        <v>221</v>
      </c>
      <c r="O5" s="27" t="s">
        <v>226</v>
      </c>
    </row>
    <row r="6" spans="1:15" x14ac:dyDescent="0.25">
      <c r="C6" t="s">
        <v>355</v>
      </c>
      <c r="O6" s="27" t="s">
        <v>227</v>
      </c>
    </row>
    <row r="7" spans="1:15" x14ac:dyDescent="0.25">
      <c r="C7" t="s">
        <v>195</v>
      </c>
      <c r="O7" s="27" t="s">
        <v>228</v>
      </c>
    </row>
    <row r="8" spans="1:15" x14ac:dyDescent="0.25">
      <c r="C8" t="s">
        <v>198</v>
      </c>
      <c r="O8" s="27"/>
    </row>
    <row r="9" spans="1:15" x14ac:dyDescent="0.25">
      <c r="C9" t="s">
        <v>237</v>
      </c>
    </row>
    <row r="10" spans="1:15" x14ac:dyDescent="0.25">
      <c r="C10" t="s">
        <v>196</v>
      </c>
    </row>
    <row r="11" spans="1:15" x14ac:dyDescent="0.25">
      <c r="C11" t="s">
        <v>499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41"/>
  <sheetViews>
    <sheetView topLeftCell="A40" zoomScaleNormal="85" zoomScalePageLayoutView="85" workbookViewId="0">
      <selection activeCell="H79" sqref="H79"/>
    </sheetView>
  </sheetViews>
  <sheetFormatPr defaultColWidth="8.7109375" defaultRowHeight="15" x14ac:dyDescent="0.25"/>
  <cols>
    <col min="1" max="1" width="40.42578125" customWidth="1"/>
    <col min="2" max="2" width="25.85546875" customWidth="1"/>
    <col min="3" max="3" width="27.28515625" customWidth="1"/>
    <col min="4" max="4" width="11" customWidth="1"/>
    <col min="5" max="5" width="38.7109375" customWidth="1"/>
    <col min="6" max="6" width="11" customWidth="1"/>
    <col min="7" max="7" width="13" customWidth="1"/>
    <col min="8" max="8" width="28.85546875" customWidth="1"/>
    <col min="9" max="9" width="16.140625" customWidth="1"/>
    <col min="14" max="14" width="119.7109375" customWidth="1"/>
  </cols>
  <sheetData>
    <row r="1" spans="1:8" ht="17.25" x14ac:dyDescent="0.3">
      <c r="A1" s="22" t="s">
        <v>509</v>
      </c>
    </row>
    <row r="3" spans="1:8" x14ac:dyDescent="0.25">
      <c r="A3" s="328" t="s">
        <v>243</v>
      </c>
      <c r="B3" s="329"/>
      <c r="C3" s="329"/>
      <c r="D3" s="329"/>
      <c r="E3" s="329"/>
      <c r="F3" s="329"/>
      <c r="G3" s="329"/>
      <c r="H3" s="330"/>
    </row>
    <row r="4" spans="1:8" ht="41.25" x14ac:dyDescent="0.25">
      <c r="A4" s="82" t="s">
        <v>244</v>
      </c>
      <c r="B4" s="324" t="s">
        <v>245</v>
      </c>
      <c r="C4" s="325"/>
      <c r="D4" s="83" t="s">
        <v>246</v>
      </c>
      <c r="E4" s="331" t="s">
        <v>247</v>
      </c>
      <c r="F4" s="332"/>
      <c r="G4" s="83" t="s">
        <v>246</v>
      </c>
      <c r="H4" s="84" t="s">
        <v>248</v>
      </c>
    </row>
    <row r="5" spans="1:8" x14ac:dyDescent="0.25">
      <c r="A5" s="333" t="s">
        <v>249</v>
      </c>
      <c r="B5" s="334"/>
      <c r="C5" s="335"/>
      <c r="D5" s="336" t="s">
        <v>250</v>
      </c>
      <c r="E5" s="338" t="s">
        <v>251</v>
      </c>
      <c r="F5" s="340" t="s">
        <v>252</v>
      </c>
      <c r="G5" s="342" t="s">
        <v>253</v>
      </c>
      <c r="H5" s="344" t="s">
        <v>254</v>
      </c>
    </row>
    <row r="6" spans="1:8" ht="63" x14ac:dyDescent="0.25">
      <c r="A6" s="85" t="s">
        <v>255</v>
      </c>
      <c r="B6" s="86" t="s">
        <v>256</v>
      </c>
      <c r="C6" s="87" t="s">
        <v>257</v>
      </c>
      <c r="D6" s="337"/>
      <c r="E6" s="339"/>
      <c r="F6" s="341"/>
      <c r="G6" s="343"/>
      <c r="H6" s="345"/>
    </row>
    <row r="7" spans="1:8" ht="25.5" x14ac:dyDescent="0.25">
      <c r="A7" s="88" t="s">
        <v>258</v>
      </c>
      <c r="B7" s="89">
        <v>7.7999999999999999E-6</v>
      </c>
      <c r="C7" s="90" t="s">
        <v>259</v>
      </c>
      <c r="D7" s="91" t="s">
        <v>260</v>
      </c>
      <c r="E7" s="346" t="s">
        <v>261</v>
      </c>
      <c r="F7" s="347"/>
      <c r="G7" s="348"/>
      <c r="H7" s="88" t="s">
        <v>262</v>
      </c>
    </row>
    <row r="8" spans="1:8" x14ac:dyDescent="0.25">
      <c r="A8" s="333" t="s">
        <v>263</v>
      </c>
      <c r="B8" s="334"/>
      <c r="C8" s="335"/>
      <c r="D8" s="336" t="s">
        <v>264</v>
      </c>
      <c r="E8" s="349"/>
      <c r="F8" s="350"/>
      <c r="G8" s="92"/>
      <c r="H8" s="93"/>
    </row>
    <row r="9" spans="1:8" ht="82.5" x14ac:dyDescent="0.25">
      <c r="A9" s="94" t="s">
        <v>265</v>
      </c>
      <c r="B9" s="86" t="s">
        <v>266</v>
      </c>
      <c r="C9" s="87" t="s">
        <v>267</v>
      </c>
      <c r="D9" s="337"/>
      <c r="E9" s="95" t="s">
        <v>268</v>
      </c>
      <c r="F9" s="96" t="s">
        <v>269</v>
      </c>
      <c r="G9" s="97" t="s">
        <v>261</v>
      </c>
      <c r="H9" s="88" t="s">
        <v>270</v>
      </c>
    </row>
    <row r="11" spans="1:8" x14ac:dyDescent="0.25">
      <c r="A11" s="14" t="s">
        <v>136</v>
      </c>
    </row>
    <row r="12" spans="1:8" x14ac:dyDescent="0.25">
      <c r="A12" s="14" t="s">
        <v>137</v>
      </c>
    </row>
    <row r="13" spans="1:8" x14ac:dyDescent="0.25">
      <c r="A13" s="14" t="s">
        <v>138</v>
      </c>
    </row>
    <row r="14" spans="1:8" x14ac:dyDescent="0.25">
      <c r="A14" s="14" t="s">
        <v>139</v>
      </c>
    </row>
    <row r="15" spans="1:8" x14ac:dyDescent="0.25">
      <c r="A15" s="14" t="s">
        <v>140</v>
      </c>
    </row>
    <row r="16" spans="1:8" x14ac:dyDescent="0.25">
      <c r="A16" s="46" t="s">
        <v>239</v>
      </c>
    </row>
    <row r="18" spans="1:9" ht="17.25" x14ac:dyDescent="0.3">
      <c r="A18" s="22" t="s">
        <v>510</v>
      </c>
    </row>
    <row r="20" spans="1:9" x14ac:dyDescent="0.25">
      <c r="A20" s="328" t="s">
        <v>271</v>
      </c>
      <c r="B20" s="329"/>
      <c r="C20" s="329"/>
      <c r="D20" s="329"/>
      <c r="E20" s="329"/>
      <c r="F20" s="329"/>
      <c r="G20" s="329"/>
      <c r="H20" s="329"/>
      <c r="I20" s="330"/>
    </row>
    <row r="21" spans="1:9" ht="38.25" x14ac:dyDescent="0.25">
      <c r="A21" s="82" t="s">
        <v>244</v>
      </c>
      <c r="B21" s="324" t="s">
        <v>245</v>
      </c>
      <c r="C21" s="325"/>
      <c r="D21" s="91" t="s">
        <v>272</v>
      </c>
      <c r="E21" s="91" t="s">
        <v>273</v>
      </c>
      <c r="F21" s="326" t="s">
        <v>247</v>
      </c>
      <c r="G21" s="327"/>
      <c r="H21" s="101" t="s">
        <v>274</v>
      </c>
      <c r="I21" s="91" t="s">
        <v>275</v>
      </c>
    </row>
    <row r="22" spans="1:9" x14ac:dyDescent="0.25">
      <c r="A22" s="333" t="s">
        <v>276</v>
      </c>
      <c r="B22" s="334"/>
      <c r="C22" s="334"/>
      <c r="D22" s="334"/>
      <c r="E22" s="334"/>
      <c r="F22" s="334"/>
      <c r="G22" s="334"/>
      <c r="H22" s="334"/>
      <c r="I22" s="335"/>
    </row>
    <row r="23" spans="1:9" ht="178.5" x14ac:dyDescent="0.25">
      <c r="A23" s="131" t="s">
        <v>277</v>
      </c>
      <c r="B23" s="99" t="s">
        <v>278</v>
      </c>
      <c r="C23" s="85" t="s">
        <v>279</v>
      </c>
      <c r="D23" s="99" t="s">
        <v>280</v>
      </c>
      <c r="E23" s="85" t="s">
        <v>281</v>
      </c>
      <c r="F23" s="351" t="s">
        <v>282</v>
      </c>
      <c r="G23" s="352"/>
      <c r="H23" s="352"/>
      <c r="I23" s="353"/>
    </row>
    <row r="24" spans="1:9" x14ac:dyDescent="0.25">
      <c r="A24" s="333" t="s">
        <v>362</v>
      </c>
      <c r="B24" s="354"/>
      <c r="C24" s="354"/>
      <c r="D24" s="354"/>
      <c r="E24" s="354"/>
      <c r="F24" s="354"/>
      <c r="G24" s="354"/>
      <c r="H24" s="354"/>
      <c r="I24" s="340"/>
    </row>
    <row r="25" spans="1:9" ht="31.5" x14ac:dyDescent="0.25">
      <c r="A25" s="103" t="s">
        <v>283</v>
      </c>
      <c r="B25" s="104">
        <v>8.6E-3</v>
      </c>
      <c r="C25" s="100" t="s">
        <v>284</v>
      </c>
      <c r="D25" s="98" t="s">
        <v>285</v>
      </c>
      <c r="E25" s="100" t="s">
        <v>286</v>
      </c>
      <c r="F25" s="105">
        <v>3.0000000000000001E-3</v>
      </c>
      <c r="G25" s="100" t="s">
        <v>287</v>
      </c>
      <c r="H25" s="98" t="s">
        <v>288</v>
      </c>
      <c r="I25" s="85" t="s">
        <v>289</v>
      </c>
    </row>
    <row r="28" spans="1:9" x14ac:dyDescent="0.25">
      <c r="A28" s="328" t="s">
        <v>290</v>
      </c>
      <c r="B28" s="329"/>
      <c r="C28" s="329"/>
      <c r="D28" s="329"/>
      <c r="E28" s="329"/>
      <c r="F28" s="329"/>
      <c r="G28" s="329"/>
      <c r="H28" s="329"/>
      <c r="I28" s="330"/>
    </row>
    <row r="29" spans="1:9" ht="39" customHeight="1" x14ac:dyDescent="0.25">
      <c r="A29" s="82" t="s">
        <v>244</v>
      </c>
      <c r="B29" s="324" t="s">
        <v>245</v>
      </c>
      <c r="C29" s="325"/>
      <c r="D29" s="91" t="s">
        <v>272</v>
      </c>
      <c r="E29" s="106" t="s">
        <v>291</v>
      </c>
      <c r="F29" s="331" t="s">
        <v>247</v>
      </c>
      <c r="G29" s="332"/>
      <c r="H29" s="91" t="s">
        <v>272</v>
      </c>
      <c r="I29" s="107" t="s">
        <v>292</v>
      </c>
    </row>
    <row r="30" spans="1:9" x14ac:dyDescent="0.25">
      <c r="A30" s="333" t="s">
        <v>293</v>
      </c>
      <c r="B30" s="334"/>
      <c r="C30" s="334"/>
      <c r="D30" s="334"/>
      <c r="E30" s="334"/>
      <c r="F30" s="334"/>
      <c r="G30" s="334"/>
      <c r="H30" s="334"/>
      <c r="I30" s="335"/>
    </row>
    <row r="31" spans="1:9" ht="138.75" x14ac:dyDescent="0.25">
      <c r="A31" s="102" t="s">
        <v>294</v>
      </c>
      <c r="B31" s="376" t="s">
        <v>512</v>
      </c>
      <c r="C31" s="85" t="s">
        <v>295</v>
      </c>
      <c r="D31" s="99" t="s">
        <v>296</v>
      </c>
      <c r="E31" s="85" t="s">
        <v>297</v>
      </c>
      <c r="F31" s="363" t="s">
        <v>282</v>
      </c>
      <c r="G31" s="364"/>
      <c r="H31" s="364"/>
      <c r="I31" s="365"/>
    </row>
    <row r="32" spans="1:9" ht="15" customHeight="1" x14ac:dyDescent="0.25">
      <c r="A32" s="333" t="s">
        <v>362</v>
      </c>
      <c r="B32" s="354"/>
      <c r="C32" s="354"/>
      <c r="D32" s="354"/>
      <c r="E32" s="354"/>
      <c r="F32" s="354"/>
      <c r="G32" s="354"/>
      <c r="H32" s="354"/>
      <c r="I32" s="340"/>
    </row>
    <row r="33" spans="1:9" ht="30" customHeight="1" x14ac:dyDescent="0.25">
      <c r="A33" s="366" t="s">
        <v>283</v>
      </c>
      <c r="B33" s="368" t="s">
        <v>298</v>
      </c>
      <c r="C33" s="368" t="s">
        <v>299</v>
      </c>
      <c r="D33" s="370" t="s">
        <v>285</v>
      </c>
      <c r="E33" s="371" t="s">
        <v>286</v>
      </c>
      <c r="F33" s="108">
        <v>1.2999999999999999E-3</v>
      </c>
      <c r="G33" s="100" t="s">
        <v>300</v>
      </c>
      <c r="H33" s="370" t="s">
        <v>288</v>
      </c>
      <c r="I33" s="371" t="s">
        <v>301</v>
      </c>
    </row>
    <row r="34" spans="1:9" ht="31.5" x14ac:dyDescent="0.25">
      <c r="A34" s="367"/>
      <c r="B34" s="369"/>
      <c r="C34" s="369"/>
      <c r="D34" s="337"/>
      <c r="E34" s="345"/>
      <c r="F34" s="109">
        <v>1.4E-3</v>
      </c>
      <c r="G34" s="88" t="s">
        <v>302</v>
      </c>
      <c r="H34" s="337"/>
      <c r="I34" s="345"/>
    </row>
    <row r="36" spans="1:9" x14ac:dyDescent="0.25">
      <c r="A36" s="46" t="s">
        <v>239</v>
      </c>
    </row>
    <row r="38" spans="1:9" ht="17.25" x14ac:dyDescent="0.3">
      <c r="A38" s="22" t="s">
        <v>329</v>
      </c>
    </row>
    <row r="40" spans="1:9" x14ac:dyDescent="0.25">
      <c r="A40" s="355" t="s">
        <v>303</v>
      </c>
      <c r="B40" s="356"/>
      <c r="C40" s="356"/>
      <c r="D40" s="356"/>
      <c r="E40" s="356"/>
      <c r="F40" s="356"/>
      <c r="G40" s="356"/>
      <c r="H40" s="357"/>
    </row>
    <row r="41" spans="1:9" x14ac:dyDescent="0.25">
      <c r="A41" s="358" t="s">
        <v>304</v>
      </c>
      <c r="B41" s="360" t="s">
        <v>305</v>
      </c>
      <c r="C41" s="361"/>
      <c r="D41" s="361"/>
      <c r="E41" s="361"/>
      <c r="F41" s="361"/>
      <c r="G41" s="361"/>
      <c r="H41" s="362"/>
    </row>
    <row r="42" spans="1:9" ht="28.5" x14ac:dyDescent="0.25">
      <c r="A42" s="359"/>
      <c r="B42" s="82" t="s">
        <v>306</v>
      </c>
      <c r="C42" s="91" t="s">
        <v>307</v>
      </c>
      <c r="D42" s="82" t="s">
        <v>308</v>
      </c>
      <c r="E42" s="91" t="s">
        <v>307</v>
      </c>
      <c r="F42" s="82" t="s">
        <v>309</v>
      </c>
      <c r="G42" s="91" t="s">
        <v>307</v>
      </c>
      <c r="H42" s="101" t="s">
        <v>310</v>
      </c>
    </row>
    <row r="43" spans="1:9" ht="15.75" x14ac:dyDescent="0.25">
      <c r="A43" s="88" t="s">
        <v>311</v>
      </c>
      <c r="B43" s="110">
        <v>1.2</v>
      </c>
      <c r="C43" s="111" t="s">
        <v>312</v>
      </c>
      <c r="D43" s="112">
        <v>7.6000000000000004E-4</v>
      </c>
      <c r="E43" s="111" t="s">
        <v>312</v>
      </c>
      <c r="F43" s="112">
        <v>2.0999999999999999E-5</v>
      </c>
      <c r="G43" s="111" t="s">
        <v>313</v>
      </c>
      <c r="H43" s="88" t="s">
        <v>314</v>
      </c>
    </row>
    <row r="44" spans="1:9" ht="15.75" x14ac:dyDescent="0.25">
      <c r="A44" s="88" t="s">
        <v>315</v>
      </c>
      <c r="B44" s="110">
        <v>1.8</v>
      </c>
      <c r="C44" s="111" t="s">
        <v>312</v>
      </c>
      <c r="D44" s="112">
        <v>1.1999999999999999E-3</v>
      </c>
      <c r="E44" s="111" t="s">
        <v>312</v>
      </c>
      <c r="F44" s="112">
        <v>2.5000000000000001E-5</v>
      </c>
      <c r="G44" s="111" t="s">
        <v>313</v>
      </c>
      <c r="H44" s="88" t="s">
        <v>316</v>
      </c>
    </row>
    <row r="45" spans="1:9" ht="15.75" x14ac:dyDescent="0.25">
      <c r="A45" s="88" t="s">
        <v>317</v>
      </c>
      <c r="B45" s="110">
        <v>3.6</v>
      </c>
      <c r="C45" s="111" t="s">
        <v>312</v>
      </c>
      <c r="D45" s="112">
        <v>2.3999999999999998E-3</v>
      </c>
      <c r="E45" s="111" t="s">
        <v>312</v>
      </c>
      <c r="F45" s="112">
        <v>5.3999999999999998E-5</v>
      </c>
      <c r="G45" s="111" t="s">
        <v>313</v>
      </c>
      <c r="H45" s="88" t="s">
        <v>316</v>
      </c>
    </row>
    <row r="46" spans="1:9" ht="28.5" x14ac:dyDescent="0.25">
      <c r="A46" s="88" t="s">
        <v>318</v>
      </c>
      <c r="B46" s="110">
        <v>41</v>
      </c>
      <c r="C46" s="111" t="s">
        <v>319</v>
      </c>
      <c r="D46" s="112">
        <v>2.5000000000000001E-2</v>
      </c>
      <c r="E46" s="111" t="s">
        <v>319</v>
      </c>
      <c r="F46" s="112">
        <v>6.4000000000000005E-4</v>
      </c>
      <c r="G46" s="111" t="s">
        <v>313</v>
      </c>
      <c r="H46" s="88" t="s">
        <v>320</v>
      </c>
    </row>
    <row r="47" spans="1:9" ht="28.5" x14ac:dyDescent="0.25">
      <c r="A47" s="83" t="s">
        <v>321</v>
      </c>
      <c r="B47" s="110">
        <v>22</v>
      </c>
      <c r="C47" s="111" t="s">
        <v>322</v>
      </c>
      <c r="D47" s="112">
        <v>0.14000000000000001</v>
      </c>
      <c r="E47" s="111" t="s">
        <v>322</v>
      </c>
      <c r="F47" s="112">
        <v>4.6000000000000001E-4</v>
      </c>
      <c r="G47" s="111" t="s">
        <v>313</v>
      </c>
      <c r="H47" s="83" t="s">
        <v>323</v>
      </c>
    </row>
    <row r="48" spans="1:9" ht="28.5" x14ac:dyDescent="0.25">
      <c r="A48" s="88" t="s">
        <v>324</v>
      </c>
      <c r="B48" s="110">
        <v>27</v>
      </c>
      <c r="C48" s="111" t="s">
        <v>322</v>
      </c>
      <c r="D48" s="112">
        <v>1.6E-2</v>
      </c>
      <c r="E48" s="111" t="s">
        <v>322</v>
      </c>
      <c r="F48" s="112">
        <v>2.4000000000000001E-4</v>
      </c>
      <c r="G48" s="111" t="s">
        <v>313</v>
      </c>
      <c r="H48" s="88" t="s">
        <v>325</v>
      </c>
    </row>
    <row r="49" spans="1:14" ht="15.75" x14ac:dyDescent="0.25">
      <c r="A49" s="88" t="s">
        <v>326</v>
      </c>
      <c r="B49" s="111" t="s">
        <v>327</v>
      </c>
      <c r="C49" s="111" t="s">
        <v>327</v>
      </c>
      <c r="D49" s="113">
        <v>2.2799999999999999E-5</v>
      </c>
      <c r="E49" s="111" t="s">
        <v>327</v>
      </c>
      <c r="F49" s="111" t="s">
        <v>327</v>
      </c>
      <c r="G49" s="111" t="s">
        <v>327</v>
      </c>
      <c r="H49" s="88" t="s">
        <v>328</v>
      </c>
    </row>
    <row r="51" spans="1:14" x14ac:dyDescent="0.25">
      <c r="A51" s="14" t="s">
        <v>141</v>
      </c>
    </row>
    <row r="52" spans="1:14" x14ac:dyDescent="0.25">
      <c r="A52" s="45" t="s">
        <v>142</v>
      </c>
    </row>
    <row r="53" spans="1:14" x14ac:dyDescent="0.25">
      <c r="A53" s="45" t="s">
        <v>143</v>
      </c>
    </row>
    <row r="54" spans="1:14" x14ac:dyDescent="0.25">
      <c r="A54" s="125" t="s">
        <v>144</v>
      </c>
    </row>
    <row r="55" spans="1:14" x14ac:dyDescent="0.25">
      <c r="A55" s="125" t="s">
        <v>353</v>
      </c>
    </row>
    <row r="56" spans="1:14" x14ac:dyDescent="0.25">
      <c r="A56" s="45" t="s">
        <v>145</v>
      </c>
    </row>
    <row r="57" spans="1:14" x14ac:dyDescent="0.25">
      <c r="A57" s="45" t="s">
        <v>146</v>
      </c>
    </row>
    <row r="58" spans="1:14" x14ac:dyDescent="0.25">
      <c r="A58" s="45" t="s">
        <v>147</v>
      </c>
    </row>
    <row r="59" spans="1:14" x14ac:dyDescent="0.25">
      <c r="A59" s="18"/>
      <c r="B59" s="18"/>
      <c r="C59" s="18"/>
      <c r="D59" s="18"/>
      <c r="E59" s="18"/>
      <c r="F59" s="18"/>
      <c r="G59" s="18"/>
      <c r="H59" s="18"/>
      <c r="I59" s="18"/>
      <c r="J59" s="18"/>
      <c r="K59" s="18"/>
    </row>
    <row r="60" spans="1:14" ht="15.75" thickBot="1" x14ac:dyDescent="0.3">
      <c r="A60" s="114"/>
      <c r="B60" s="114"/>
      <c r="C60" s="114"/>
      <c r="D60" s="114"/>
      <c r="E60" s="114"/>
      <c r="F60" s="114"/>
      <c r="G60" s="114"/>
      <c r="H60" s="114"/>
      <c r="I60" s="114"/>
      <c r="J60" s="18"/>
      <c r="K60" s="18"/>
    </row>
    <row r="61" spans="1:14" x14ac:dyDescent="0.25">
      <c r="F61" s="53" t="s">
        <v>367</v>
      </c>
    </row>
    <row r="62" spans="1:14" x14ac:dyDescent="0.25">
      <c r="A62" s="2" t="s">
        <v>330</v>
      </c>
      <c r="B62" s="115" t="s">
        <v>331</v>
      </c>
      <c r="C62" s="2" t="s">
        <v>340</v>
      </c>
      <c r="N62" s="47"/>
    </row>
    <row r="63" spans="1:14" x14ac:dyDescent="0.25">
      <c r="A63" s="2" t="s">
        <v>332</v>
      </c>
      <c r="B63" s="115">
        <v>1.1000000000000001E-3</v>
      </c>
      <c r="C63" s="2" t="s">
        <v>363</v>
      </c>
      <c r="E63" s="53" t="e">
        <f>1000/'1.Intro'!$B$4*'1.Intro'!$B$5*1000000/1000000000000</f>
        <v>#VALUE!</v>
      </c>
      <c r="F63" s="380" t="e">
        <f>B63*E63</f>
        <v>#VALUE!</v>
      </c>
      <c r="N63" s="48"/>
    </row>
    <row r="64" spans="1:14" x14ac:dyDescent="0.25">
      <c r="F64" s="380"/>
      <c r="N64" s="48"/>
    </row>
    <row r="65" spans="1:14" x14ac:dyDescent="0.25">
      <c r="A65" s="2" t="s">
        <v>330</v>
      </c>
      <c r="B65" s="116" t="s">
        <v>333</v>
      </c>
      <c r="C65" s="2" t="s">
        <v>25</v>
      </c>
      <c r="F65" s="380"/>
      <c r="N65" s="46"/>
    </row>
    <row r="66" spans="1:14" x14ac:dyDescent="0.25">
      <c r="A66" s="2" t="s">
        <v>332</v>
      </c>
      <c r="B66" s="116">
        <v>4.1000000000000003E-3</v>
      </c>
      <c r="C66" s="2" t="s">
        <v>363</v>
      </c>
      <c r="E66" t="e">
        <f>1000/'1.Intro'!$B$4*'1.Intro'!$B$5*1000000/1000000000000</f>
        <v>#VALUE!</v>
      </c>
      <c r="F66" s="380" t="e">
        <f>B66*E66</f>
        <v>#VALUE!</v>
      </c>
    </row>
    <row r="67" spans="1:14" x14ac:dyDescent="0.25">
      <c r="F67" s="380"/>
    </row>
    <row r="68" spans="1:14" x14ac:dyDescent="0.25">
      <c r="A68" s="2" t="s">
        <v>330</v>
      </c>
      <c r="B68" s="116" t="s">
        <v>333</v>
      </c>
      <c r="C68" s="2" t="s">
        <v>186</v>
      </c>
      <c r="F68" s="380"/>
      <c r="K68">
        <f>+K69/K70</f>
        <v>42.352941176470587</v>
      </c>
      <c r="L68" t="s">
        <v>517</v>
      </c>
    </row>
    <row r="69" spans="1:14" x14ac:dyDescent="0.25">
      <c r="A69" s="2" t="s">
        <v>332</v>
      </c>
      <c r="B69" s="116">
        <v>1.6E-2</v>
      </c>
      <c r="C69" s="2" t="s">
        <v>511</v>
      </c>
      <c r="F69" s="380">
        <f>+H69*K68*1000</f>
        <v>6.7764705882352946E-4</v>
      </c>
      <c r="H69">
        <f>+B69*0.000000000001*1000000</f>
        <v>1.6000000000000001E-8</v>
      </c>
      <c r="I69" t="s">
        <v>513</v>
      </c>
      <c r="J69" t="s">
        <v>514</v>
      </c>
      <c r="K69">
        <v>36</v>
      </c>
      <c r="L69" t="s">
        <v>515</v>
      </c>
    </row>
    <row r="70" spans="1:14" x14ac:dyDescent="0.25">
      <c r="F70" s="380"/>
      <c r="K70">
        <v>0.85</v>
      </c>
      <c r="L70" t="s">
        <v>516</v>
      </c>
    </row>
    <row r="71" spans="1:14" ht="17.25" x14ac:dyDescent="0.3">
      <c r="A71" s="117" t="s">
        <v>330</v>
      </c>
      <c r="B71" s="118" t="s">
        <v>333</v>
      </c>
      <c r="C71" s="119" t="s">
        <v>185</v>
      </c>
      <c r="D71" s="11"/>
      <c r="F71" s="380"/>
    </row>
    <row r="72" spans="1:14" x14ac:dyDescent="0.25">
      <c r="A72" s="120" t="s">
        <v>332</v>
      </c>
      <c r="B72" s="121">
        <v>0.11</v>
      </c>
      <c r="C72" s="2" t="s">
        <v>363</v>
      </c>
      <c r="E72" s="53" t="e">
        <f>1000/'1.Intro'!$B$4*'1.Intro'!$B$5*1000000/1000000000000</f>
        <v>#VALUE!</v>
      </c>
      <c r="F72" s="380" t="e">
        <f>B72*E72</f>
        <v>#VALUE!</v>
      </c>
    </row>
    <row r="73" spans="1:14" x14ac:dyDescent="0.25">
      <c r="F73" s="172"/>
    </row>
    <row r="74" spans="1:14" x14ac:dyDescent="0.25">
      <c r="A74" s="117" t="s">
        <v>330</v>
      </c>
      <c r="B74" s="118" t="s">
        <v>334</v>
      </c>
      <c r="C74" s="119" t="s">
        <v>341</v>
      </c>
      <c r="F74" s="172"/>
    </row>
    <row r="75" spans="1:14" x14ac:dyDescent="0.25">
      <c r="A75" s="120" t="s">
        <v>332</v>
      </c>
      <c r="B75" s="126">
        <v>1.2E-2</v>
      </c>
      <c r="C75" s="122" t="s">
        <v>352</v>
      </c>
      <c r="F75" s="172"/>
    </row>
    <row r="79" spans="1:14" x14ac:dyDescent="0.25">
      <c r="A79" s="14"/>
    </row>
    <row r="80" spans="1:14" x14ac:dyDescent="0.25">
      <c r="A80" s="14"/>
    </row>
    <row r="81" spans="1:9" x14ac:dyDescent="0.25">
      <c r="A81" s="14"/>
      <c r="I81" s="14"/>
    </row>
    <row r="141" spans="14:14" x14ac:dyDescent="0.25">
      <c r="N141" s="39"/>
    </row>
  </sheetData>
  <mergeCells count="35">
    <mergeCell ref="A40:H40"/>
    <mergeCell ref="A41:A42"/>
    <mergeCell ref="B41:H41"/>
    <mergeCell ref="A30:I30"/>
    <mergeCell ref="F31:I31"/>
    <mergeCell ref="A32:I32"/>
    <mergeCell ref="A33:A34"/>
    <mergeCell ref="B33:B34"/>
    <mergeCell ref="C33:C34"/>
    <mergeCell ref="D33:D34"/>
    <mergeCell ref="E33:E34"/>
    <mergeCell ref="H33:H34"/>
    <mergeCell ref="I33:I34"/>
    <mergeCell ref="A22:I22"/>
    <mergeCell ref="F23:I23"/>
    <mergeCell ref="A24:I24"/>
    <mergeCell ref="A28:I28"/>
    <mergeCell ref="B29:C29"/>
    <mergeCell ref="F29:G29"/>
    <mergeCell ref="B21:C21"/>
    <mergeCell ref="F21:G21"/>
    <mergeCell ref="A3:H3"/>
    <mergeCell ref="B4:C4"/>
    <mergeCell ref="E4:F4"/>
    <mergeCell ref="A5:C5"/>
    <mergeCell ref="D5:D6"/>
    <mergeCell ref="E5:E6"/>
    <mergeCell ref="F5:F6"/>
    <mergeCell ref="G5:G6"/>
    <mergeCell ref="H5:H6"/>
    <mergeCell ref="E7:G7"/>
    <mergeCell ref="A8:C8"/>
    <mergeCell ref="D8:D9"/>
    <mergeCell ref="E8:F8"/>
    <mergeCell ref="A20:I2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78"/>
  <sheetViews>
    <sheetView topLeftCell="A49" zoomScale="93" zoomScaleNormal="93" workbookViewId="0">
      <selection activeCell="F89" sqref="F89"/>
    </sheetView>
  </sheetViews>
  <sheetFormatPr defaultRowHeight="15" x14ac:dyDescent="0.25"/>
  <cols>
    <col min="1" max="1" width="40.28515625" style="153" customWidth="1"/>
    <col min="2" max="2" width="27" style="153" customWidth="1"/>
    <col min="3" max="3" width="26" style="153" customWidth="1"/>
    <col min="4" max="4" width="9.140625" style="153"/>
    <col min="5" max="5" width="22.42578125" style="153" customWidth="1"/>
    <col min="6" max="6" width="45.85546875" style="153" customWidth="1"/>
    <col min="7" max="7" width="27.28515625" style="153" customWidth="1"/>
    <col min="8" max="8" width="21.7109375" style="153" customWidth="1"/>
    <col min="9" max="9" width="20.28515625" style="153" customWidth="1"/>
    <col min="10" max="10" width="12.85546875" style="153" bestFit="1" customWidth="1"/>
    <col min="11" max="11" width="16.5703125" style="153" customWidth="1"/>
    <col min="12" max="12" width="23.85546875" style="153" customWidth="1"/>
    <col min="13" max="16384" width="9.140625" style="153"/>
  </cols>
  <sheetData>
    <row r="1" spans="1:3" x14ac:dyDescent="0.25">
      <c r="A1" s="152" t="s">
        <v>368</v>
      </c>
    </row>
    <row r="2" spans="1:3" ht="18" x14ac:dyDescent="0.25">
      <c r="A2" s="165" t="s">
        <v>369</v>
      </c>
      <c r="B2" s="166"/>
      <c r="C2" s="166"/>
    </row>
    <row r="4" spans="1:3" x14ac:dyDescent="0.25">
      <c r="A4" s="372" t="s">
        <v>370</v>
      </c>
      <c r="B4" s="372"/>
      <c r="C4" s="372"/>
    </row>
    <row r="5" spans="1:3" x14ac:dyDescent="0.25">
      <c r="A5" s="154" t="s">
        <v>371</v>
      </c>
      <c r="B5" s="155" t="s">
        <v>372</v>
      </c>
      <c r="C5" s="155" t="s">
        <v>373</v>
      </c>
    </row>
    <row r="6" spans="1:3" ht="18" x14ac:dyDescent="0.25">
      <c r="A6" s="156"/>
      <c r="B6" s="170" t="s">
        <v>374</v>
      </c>
      <c r="C6" s="156"/>
    </row>
    <row r="7" spans="1:3" ht="18" x14ac:dyDescent="0.25">
      <c r="A7" s="158" t="s">
        <v>375</v>
      </c>
      <c r="B7" s="154" t="s">
        <v>376</v>
      </c>
      <c r="C7" s="154" t="s">
        <v>377</v>
      </c>
    </row>
    <row r="8" spans="1:3" x14ac:dyDescent="0.25">
      <c r="A8" s="159" t="s">
        <v>378</v>
      </c>
      <c r="B8" s="160">
        <v>4.0000000000000003E-5</v>
      </c>
      <c r="C8" s="161" t="s">
        <v>379</v>
      </c>
    </row>
    <row r="9" spans="1:3" x14ac:dyDescent="0.25">
      <c r="A9" s="159" t="s">
        <v>380</v>
      </c>
      <c r="B9" s="160">
        <v>6.0000000000000002E-6</v>
      </c>
      <c r="C9" s="161" t="s">
        <v>379</v>
      </c>
    </row>
    <row r="10" spans="1:3" ht="18" x14ac:dyDescent="0.25">
      <c r="A10" s="168" t="s">
        <v>467</v>
      </c>
      <c r="B10" s="169">
        <v>1.2E-5</v>
      </c>
      <c r="C10" s="161" t="s">
        <v>381</v>
      </c>
    </row>
    <row r="11" spans="1:3" x14ac:dyDescent="0.25">
      <c r="A11" s="159" t="s">
        <v>382</v>
      </c>
      <c r="B11" s="160">
        <v>3.1999999999999999E-5</v>
      </c>
      <c r="C11" s="161" t="s">
        <v>379</v>
      </c>
    </row>
    <row r="12" spans="1:3" ht="18" x14ac:dyDescent="0.25">
      <c r="A12" s="159" t="s">
        <v>383</v>
      </c>
      <c r="B12" s="160">
        <v>7.1000000000000002E-4</v>
      </c>
      <c r="C12" s="161" t="s">
        <v>381</v>
      </c>
    </row>
    <row r="13" spans="1:3" x14ac:dyDescent="0.25">
      <c r="A13" s="159" t="s">
        <v>384</v>
      </c>
      <c r="B13" s="160">
        <v>9.9999999999999995E-7</v>
      </c>
      <c r="C13" s="161" t="s">
        <v>379</v>
      </c>
    </row>
    <row r="14" spans="1:3" x14ac:dyDescent="0.25">
      <c r="A14" s="159" t="s">
        <v>385</v>
      </c>
      <c r="B14" s="160">
        <v>1.9999999999999999E-6</v>
      </c>
      <c r="C14" s="161" t="s">
        <v>379</v>
      </c>
    </row>
    <row r="15" spans="1:3" ht="18" x14ac:dyDescent="0.25">
      <c r="A15" s="159" t="s">
        <v>386</v>
      </c>
      <c r="B15" s="161" t="s">
        <v>387</v>
      </c>
      <c r="C15" s="161" t="s">
        <v>377</v>
      </c>
    </row>
    <row r="16" spans="1:3" x14ac:dyDescent="0.25">
      <c r="A16" s="159" t="s">
        <v>388</v>
      </c>
      <c r="B16" s="160">
        <v>1.2999999999999999E-4</v>
      </c>
      <c r="C16" s="161" t="s">
        <v>379</v>
      </c>
    </row>
    <row r="17" spans="1:3" x14ac:dyDescent="0.25">
      <c r="A17" s="162" t="s">
        <v>389</v>
      </c>
      <c r="B17" s="163">
        <v>6.3999999999999997E-5</v>
      </c>
      <c r="C17" s="157" t="s">
        <v>379</v>
      </c>
    </row>
    <row r="19" spans="1:3" x14ac:dyDescent="0.25">
      <c r="A19" s="164" t="s">
        <v>390</v>
      </c>
    </row>
    <row r="20" spans="1:3" x14ac:dyDescent="0.25">
      <c r="A20" s="152" t="s">
        <v>391</v>
      </c>
    </row>
    <row r="21" spans="1:3" x14ac:dyDescent="0.25">
      <c r="A21" s="164" t="s">
        <v>392</v>
      </c>
    </row>
    <row r="22" spans="1:3" x14ac:dyDescent="0.25">
      <c r="A22" s="152" t="s">
        <v>393</v>
      </c>
    </row>
    <row r="23" spans="1:3" x14ac:dyDescent="0.25">
      <c r="A23" s="152" t="s">
        <v>394</v>
      </c>
    </row>
    <row r="24" spans="1:3" ht="18" x14ac:dyDescent="0.25">
      <c r="A24" s="164" t="s">
        <v>395</v>
      </c>
    </row>
    <row r="25" spans="1:3" ht="18" x14ac:dyDescent="0.25">
      <c r="A25" s="152" t="s">
        <v>396</v>
      </c>
    </row>
    <row r="26" spans="1:3" x14ac:dyDescent="0.25">
      <c r="A26" s="152" t="s">
        <v>397</v>
      </c>
    </row>
    <row r="27" spans="1:3" x14ac:dyDescent="0.25">
      <c r="A27" s="152" t="s">
        <v>398</v>
      </c>
    </row>
    <row r="28" spans="1:3" x14ac:dyDescent="0.25">
      <c r="A28" s="164" t="s">
        <v>399</v>
      </c>
    </row>
    <row r="29" spans="1:3" x14ac:dyDescent="0.25">
      <c r="A29" s="164" t="s">
        <v>400</v>
      </c>
    </row>
    <row r="30" spans="1:3" x14ac:dyDescent="0.25">
      <c r="A30" s="164" t="s">
        <v>401</v>
      </c>
    </row>
    <row r="34" spans="1:12" x14ac:dyDescent="0.25">
      <c r="F34" s="165" t="s">
        <v>414</v>
      </c>
      <c r="G34" s="166"/>
      <c r="H34" s="166"/>
      <c r="K34" s="152" t="s">
        <v>425</v>
      </c>
    </row>
    <row r="35" spans="1:12" ht="18" x14ac:dyDescent="0.25">
      <c r="A35" s="165" t="s">
        <v>402</v>
      </c>
      <c r="B35" s="166"/>
      <c r="C35" s="166"/>
      <c r="F35" s="152" t="s">
        <v>415</v>
      </c>
      <c r="K35" s="152" t="s">
        <v>426</v>
      </c>
    </row>
    <row r="36" spans="1:12" x14ac:dyDescent="0.25">
      <c r="A36" s="152" t="s">
        <v>403</v>
      </c>
      <c r="F36" s="152" t="s">
        <v>416</v>
      </c>
    </row>
    <row r="37" spans="1:12" x14ac:dyDescent="0.25">
      <c r="K37" s="152" t="s">
        <v>427</v>
      </c>
    </row>
    <row r="38" spans="1:12" ht="48" x14ac:dyDescent="0.25">
      <c r="A38" s="175" t="s">
        <v>371</v>
      </c>
      <c r="B38" s="206" t="s">
        <v>404</v>
      </c>
      <c r="C38" s="206" t="s">
        <v>405</v>
      </c>
      <c r="F38" s="175" t="s">
        <v>371</v>
      </c>
      <c r="G38" s="206" t="s">
        <v>404</v>
      </c>
      <c r="H38" s="206" t="s">
        <v>405</v>
      </c>
      <c r="K38" s="175" t="s">
        <v>371</v>
      </c>
      <c r="L38" s="206" t="s">
        <v>428</v>
      </c>
    </row>
    <row r="39" spans="1:12" ht="106.5" customHeight="1" x14ac:dyDescent="0.25">
      <c r="A39" s="207" t="s">
        <v>411</v>
      </c>
      <c r="B39" s="208" t="s">
        <v>412</v>
      </c>
      <c r="C39" s="158" t="s">
        <v>406</v>
      </c>
      <c r="F39" s="209" t="s">
        <v>417</v>
      </c>
      <c r="G39" s="209"/>
      <c r="H39" s="209"/>
      <c r="K39" s="210" t="s">
        <v>438</v>
      </c>
      <c r="L39" s="211">
        <v>9.3300000000000002E-4</v>
      </c>
    </row>
    <row r="40" spans="1:12" ht="18" customHeight="1" x14ac:dyDescent="0.25">
      <c r="A40" s="159" t="s">
        <v>407</v>
      </c>
      <c r="B40" s="212">
        <v>2.12E-4</v>
      </c>
      <c r="C40" s="213" t="s">
        <v>377</v>
      </c>
      <c r="F40" s="209" t="s">
        <v>418</v>
      </c>
      <c r="G40" s="209" t="s">
        <v>419</v>
      </c>
      <c r="H40" s="206" t="s">
        <v>420</v>
      </c>
      <c r="K40" s="159" t="s">
        <v>429</v>
      </c>
      <c r="L40" s="212">
        <v>4.0900000000000002E-4</v>
      </c>
    </row>
    <row r="41" spans="1:12" ht="29.25" customHeight="1" x14ac:dyDescent="0.25">
      <c r="A41" s="159" t="s">
        <v>408</v>
      </c>
      <c r="B41" s="212">
        <v>5.4100000000000003E-4</v>
      </c>
      <c r="C41" s="213" t="s">
        <v>377</v>
      </c>
      <c r="F41" s="209" t="s">
        <v>421</v>
      </c>
      <c r="G41" s="209"/>
      <c r="H41" s="209"/>
      <c r="K41" s="159" t="s">
        <v>430</v>
      </c>
      <c r="L41" s="212">
        <v>2.8499999999999999E-4</v>
      </c>
    </row>
    <row r="42" spans="1:12" ht="186.75" customHeight="1" x14ac:dyDescent="0.25">
      <c r="A42" s="214" t="s">
        <v>413</v>
      </c>
      <c r="B42" s="161" t="s">
        <v>409</v>
      </c>
      <c r="C42" s="213" t="s">
        <v>410</v>
      </c>
      <c r="F42" s="215" t="s">
        <v>423</v>
      </c>
      <c r="G42" s="209" t="s">
        <v>424</v>
      </c>
      <c r="H42" s="209" t="s">
        <v>422</v>
      </c>
      <c r="K42" s="159" t="s">
        <v>431</v>
      </c>
      <c r="L42" s="212">
        <v>2.5799999999999998E-3</v>
      </c>
    </row>
    <row r="43" spans="1:12" ht="18" x14ac:dyDescent="0.25">
      <c r="K43" s="159" t="s">
        <v>432</v>
      </c>
      <c r="L43" s="161" t="s">
        <v>433</v>
      </c>
    </row>
    <row r="44" spans="1:12" x14ac:dyDescent="0.25">
      <c r="A44" s="216" t="s">
        <v>439</v>
      </c>
    </row>
    <row r="45" spans="1:12" ht="18" x14ac:dyDescent="0.25">
      <c r="A45" s="216" t="s">
        <v>440</v>
      </c>
      <c r="K45" s="217" t="s">
        <v>434</v>
      </c>
    </row>
    <row r="46" spans="1:12" x14ac:dyDescent="0.25">
      <c r="K46" s="152" t="s">
        <v>435</v>
      </c>
    </row>
    <row r="47" spans="1:12" x14ac:dyDescent="0.25">
      <c r="K47" s="217" t="s">
        <v>436</v>
      </c>
    </row>
    <row r="48" spans="1:12" x14ac:dyDescent="0.25">
      <c r="K48" s="217" t="s">
        <v>437</v>
      </c>
    </row>
    <row r="49" spans="1:6" ht="45" x14ac:dyDescent="0.25">
      <c r="A49" s="218" t="s">
        <v>441</v>
      </c>
      <c r="B49" s="218" t="s">
        <v>442</v>
      </c>
      <c r="C49" s="219" t="s">
        <v>443</v>
      </c>
      <c r="D49" s="167" t="s">
        <v>444</v>
      </c>
    </row>
    <row r="50" spans="1:6" x14ac:dyDescent="0.25">
      <c r="A50" s="220" t="s">
        <v>445</v>
      </c>
      <c r="B50" s="220" t="s">
        <v>446</v>
      </c>
      <c r="C50" s="221">
        <v>2.4000000000000001E-5</v>
      </c>
      <c r="D50" s="222" t="s">
        <v>447</v>
      </c>
    </row>
    <row r="51" spans="1:6" x14ac:dyDescent="0.25">
      <c r="A51" s="223" t="s">
        <v>448</v>
      </c>
      <c r="B51" s="223" t="s">
        <v>449</v>
      </c>
      <c r="C51" s="224" t="s">
        <v>450</v>
      </c>
      <c r="D51" s="224" t="s">
        <v>451</v>
      </c>
    </row>
    <row r="52" spans="1:6" x14ac:dyDescent="0.25">
      <c r="A52" s="225"/>
      <c r="B52" s="223" t="s">
        <v>452</v>
      </c>
      <c r="C52" s="224" t="s">
        <v>453</v>
      </c>
      <c r="D52" s="224" t="s">
        <v>451</v>
      </c>
    </row>
    <row r="53" spans="1:6" ht="18" x14ac:dyDescent="0.25">
      <c r="A53" s="225"/>
      <c r="B53" s="223" t="s">
        <v>454</v>
      </c>
      <c r="C53" s="225"/>
      <c r="D53" s="225"/>
    </row>
    <row r="54" spans="1:6" ht="18" x14ac:dyDescent="0.25">
      <c r="A54" s="223" t="s">
        <v>455</v>
      </c>
      <c r="B54" s="223" t="s">
        <v>456</v>
      </c>
      <c r="C54" s="224" t="s">
        <v>450</v>
      </c>
      <c r="D54" s="224" t="s">
        <v>451</v>
      </c>
    </row>
    <row r="55" spans="1:6" ht="18" x14ac:dyDescent="0.25">
      <c r="A55" s="223" t="s">
        <v>457</v>
      </c>
      <c r="B55" s="223" t="s">
        <v>458</v>
      </c>
      <c r="C55" s="224" t="s">
        <v>450</v>
      </c>
      <c r="D55" s="224" t="s">
        <v>451</v>
      </c>
    </row>
    <row r="56" spans="1:6" ht="18" x14ac:dyDescent="0.25">
      <c r="A56" s="223" t="s">
        <v>459</v>
      </c>
      <c r="B56" s="223" t="s">
        <v>460</v>
      </c>
      <c r="C56" s="224" t="s">
        <v>461</v>
      </c>
      <c r="D56" s="224" t="s">
        <v>451</v>
      </c>
    </row>
    <row r="57" spans="1:6" ht="18" x14ac:dyDescent="0.25">
      <c r="A57" s="223" t="s">
        <v>462</v>
      </c>
      <c r="B57" s="223" t="s">
        <v>463</v>
      </c>
      <c r="C57" s="224" t="s">
        <v>450</v>
      </c>
      <c r="D57" s="224" t="s">
        <v>451</v>
      </c>
    </row>
    <row r="58" spans="1:6" ht="18" x14ac:dyDescent="0.25">
      <c r="A58" s="223" t="s">
        <v>464</v>
      </c>
      <c r="B58" s="226" t="s">
        <v>466</v>
      </c>
      <c r="C58" s="227">
        <v>2.0999999999999999E-3</v>
      </c>
      <c r="D58" s="224" t="s">
        <v>465</v>
      </c>
    </row>
    <row r="64" spans="1:6" x14ac:dyDescent="0.25">
      <c r="A64" s="153" t="s">
        <v>475</v>
      </c>
      <c r="E64" s="153" t="s">
        <v>476</v>
      </c>
      <c r="F64" s="378" t="s">
        <v>472</v>
      </c>
    </row>
    <row r="65" spans="1:10" x14ac:dyDescent="0.25">
      <c r="A65" s="228" t="s">
        <v>330</v>
      </c>
      <c r="B65" s="115" t="s">
        <v>468</v>
      </c>
      <c r="C65" s="228" t="s">
        <v>340</v>
      </c>
      <c r="F65" s="166"/>
    </row>
    <row r="66" spans="1:10" x14ac:dyDescent="0.25">
      <c r="A66" s="228" t="s">
        <v>332</v>
      </c>
      <c r="B66" s="229">
        <v>2.0999999999999999E-3</v>
      </c>
      <c r="C66" s="228" t="s">
        <v>469</v>
      </c>
      <c r="E66" s="153">
        <v>16.018000000000001</v>
      </c>
      <c r="F66" s="379" t="e">
        <f>+B66*E66/'1.Intro'!$B$4/1000000</f>
        <v>#VALUE!</v>
      </c>
      <c r="G66" s="377"/>
    </row>
    <row r="67" spans="1:10" x14ac:dyDescent="0.25">
      <c r="F67" s="166"/>
    </row>
    <row r="68" spans="1:10" x14ac:dyDescent="0.25">
      <c r="A68" s="228" t="s">
        <v>330</v>
      </c>
      <c r="B68" s="116" t="s">
        <v>471</v>
      </c>
      <c r="C68" s="228" t="s">
        <v>25</v>
      </c>
      <c r="F68" s="166"/>
    </row>
    <row r="69" spans="1:10" x14ac:dyDescent="0.25">
      <c r="A69" s="228" t="s">
        <v>332</v>
      </c>
      <c r="B69" s="171">
        <v>1.2E-5</v>
      </c>
      <c r="C69" s="228" t="s">
        <v>470</v>
      </c>
      <c r="E69" s="153">
        <f>1020*16.018</f>
        <v>16338.36</v>
      </c>
      <c r="F69" s="379" t="e">
        <f>+B69*E69/'1.Intro'!$B$4/1000000</f>
        <v>#VALUE!</v>
      </c>
      <c r="G69" s="153">
        <v>38500</v>
      </c>
      <c r="H69" s="236" t="e">
        <f>+F69/G69*1000000000</f>
        <v>#VALUE!</v>
      </c>
      <c r="I69" s="230" t="s">
        <v>482</v>
      </c>
    </row>
    <row r="70" spans="1:10" x14ac:dyDescent="0.25">
      <c r="F70" s="166"/>
    </row>
    <row r="71" spans="1:10" x14ac:dyDescent="0.25">
      <c r="A71" s="228" t="s">
        <v>330</v>
      </c>
      <c r="B71" s="116" t="s">
        <v>473</v>
      </c>
      <c r="C71" s="228" t="s">
        <v>186</v>
      </c>
      <c r="F71" s="166"/>
    </row>
    <row r="72" spans="1:10" x14ac:dyDescent="0.25">
      <c r="A72" s="228" t="s">
        <v>332</v>
      </c>
      <c r="B72" s="116">
        <v>9.3300000000000002E-4</v>
      </c>
      <c r="C72" s="228" t="s">
        <v>470</v>
      </c>
      <c r="F72" s="379">
        <f>+H72*'4.AP-42 CH4 factor tables'!K68*10000</f>
        <v>1.6991576470588236E-4</v>
      </c>
      <c r="H72" s="153">
        <f>+B72*430*0.000000000000001*1000000</f>
        <v>4.0119000000000004E-10</v>
      </c>
      <c r="I72" s="153" t="s">
        <v>513</v>
      </c>
      <c r="J72" s="173"/>
    </row>
    <row r="73" spans="1:10" x14ac:dyDescent="0.25">
      <c r="F73" s="166"/>
    </row>
    <row r="74" spans="1:10" ht="17.25" x14ac:dyDescent="0.3">
      <c r="A74" s="231" t="s">
        <v>330</v>
      </c>
      <c r="B74" s="118" t="s">
        <v>474</v>
      </c>
      <c r="C74" s="232" t="s">
        <v>185</v>
      </c>
      <c r="D74" s="233"/>
      <c r="F74" s="166"/>
    </row>
    <row r="75" spans="1:10" x14ac:dyDescent="0.25">
      <c r="A75" s="234" t="s">
        <v>332</v>
      </c>
      <c r="B75" s="174">
        <v>1.58E-3</v>
      </c>
      <c r="C75" s="228" t="s">
        <v>470</v>
      </c>
      <c r="E75" s="153">
        <f>1020*16.018</f>
        <v>16338.36</v>
      </c>
      <c r="F75" s="379" t="e">
        <f>+B75*E75/'1.Intro'!$B$4/1000000</f>
        <v>#VALUE!</v>
      </c>
    </row>
    <row r="77" spans="1:10" x14ac:dyDescent="0.25">
      <c r="A77" s="231" t="s">
        <v>330</v>
      </c>
      <c r="B77" s="118"/>
      <c r="C77" s="232" t="s">
        <v>341</v>
      </c>
    </row>
    <row r="78" spans="1:10" x14ac:dyDescent="0.25">
      <c r="A78" s="234" t="s">
        <v>332</v>
      </c>
      <c r="B78" s="176">
        <v>0.99</v>
      </c>
      <c r="C78" s="235"/>
    </row>
  </sheetData>
  <mergeCells count="1">
    <mergeCell ref="A4:C4"/>
  </mergeCells>
  <hyperlinks>
    <hyperlink ref="A23" location="http://www.epa.gov/ttn/chief" display="http://www.epa.gov/ttn/chief"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0"/>
  <sheetViews>
    <sheetView workbookViewId="0">
      <selection activeCell="D23" sqref="D23"/>
    </sheetView>
  </sheetViews>
  <sheetFormatPr defaultColWidth="8.85546875" defaultRowHeight="15" x14ac:dyDescent="0.25"/>
  <cols>
    <col min="2" max="2" width="21.5703125" customWidth="1"/>
    <col min="3" max="3" width="15.28515625" customWidth="1"/>
    <col min="4" max="4" width="12.7109375" customWidth="1"/>
    <col min="5" max="5" width="10.42578125" customWidth="1"/>
    <col min="6" max="6" width="13.42578125" bestFit="1" customWidth="1"/>
    <col min="7" max="7" width="14.140625" customWidth="1"/>
    <col min="9" max="9" width="12.7109375" customWidth="1"/>
    <col min="10" max="10" width="15.42578125" customWidth="1"/>
  </cols>
  <sheetData>
    <row r="1" spans="1:10" x14ac:dyDescent="0.25">
      <c r="A1" s="53"/>
      <c r="B1" s="53"/>
      <c r="E1" s="53"/>
      <c r="F1" s="53"/>
    </row>
    <row r="2" spans="1:10" x14ac:dyDescent="0.25">
      <c r="A2" s="53"/>
      <c r="B2" s="145" t="s">
        <v>197</v>
      </c>
      <c r="C2" s="144" t="str">
        <f>'1.Intro'!B2</f>
        <v>Select…</v>
      </c>
      <c r="D2" s="148"/>
      <c r="E2" s="53"/>
      <c r="F2" s="53"/>
    </row>
    <row r="3" spans="1:10" x14ac:dyDescent="0.25">
      <c r="B3" s="146" t="s">
        <v>345</v>
      </c>
      <c r="C3" s="147" t="str">
        <f>'1.Intro'!B3</f>
        <v>XX</v>
      </c>
      <c r="D3" s="149"/>
      <c r="F3" s="53"/>
    </row>
    <row r="4" spans="1:10" x14ac:dyDescent="0.25">
      <c r="A4" s="54" t="s">
        <v>154</v>
      </c>
      <c r="B4" s="53"/>
      <c r="C4" s="53"/>
      <c r="D4" s="53"/>
      <c r="E4" s="53"/>
      <c r="F4" s="53"/>
    </row>
    <row r="5" spans="1:10" x14ac:dyDescent="0.25">
      <c r="B5" s="56" t="s">
        <v>346</v>
      </c>
      <c r="C5" s="133" t="str">
        <f>'1.Intro'!B4</f>
        <v>x.xx</v>
      </c>
      <c r="D5" s="54" t="s">
        <v>157</v>
      </c>
      <c r="F5" s="53"/>
    </row>
    <row r="6" spans="1:10" x14ac:dyDescent="0.25">
      <c r="B6" s="56" t="s">
        <v>159</v>
      </c>
      <c r="C6" s="133" t="str">
        <f>'1.Intro'!B5</f>
        <v>xx.xx</v>
      </c>
      <c r="D6" s="54" t="s">
        <v>160</v>
      </c>
      <c r="F6" s="53"/>
    </row>
    <row r="7" spans="1:10" x14ac:dyDescent="0.25">
      <c r="A7" s="53"/>
      <c r="B7" s="2" t="s">
        <v>347</v>
      </c>
      <c r="C7" s="134" t="e">
        <f>C6/0.9</f>
        <v>#VALUE!</v>
      </c>
      <c r="D7" s="54" t="s">
        <v>160</v>
      </c>
    </row>
    <row r="8" spans="1:10" x14ac:dyDescent="0.25">
      <c r="A8" s="54"/>
      <c r="B8" s="53"/>
      <c r="C8" s="130" t="s">
        <v>162</v>
      </c>
      <c r="D8" s="53"/>
      <c r="E8" s="53"/>
      <c r="F8" s="53"/>
    </row>
    <row r="9" spans="1:10" x14ac:dyDescent="0.25">
      <c r="A9" s="54"/>
      <c r="B9" s="54"/>
      <c r="D9" s="53"/>
      <c r="E9" s="53"/>
      <c r="F9" s="53"/>
    </row>
    <row r="10" spans="1:10" ht="15.75" thickBot="1" x14ac:dyDescent="0.3">
      <c r="A10" s="54"/>
      <c r="B10" s="53"/>
      <c r="C10" s="54"/>
      <c r="D10" s="53"/>
      <c r="E10" s="53"/>
      <c r="F10" s="18"/>
    </row>
    <row r="11" spans="1:10" x14ac:dyDescent="0.25">
      <c r="A11" s="129"/>
      <c r="B11" s="189"/>
      <c r="C11" s="192" t="s">
        <v>167</v>
      </c>
      <c r="D11" s="182"/>
      <c r="E11" s="182"/>
      <c r="F11" s="193"/>
      <c r="G11" s="181" t="s">
        <v>475</v>
      </c>
      <c r="H11" s="182"/>
      <c r="I11" s="182"/>
      <c r="J11" s="194"/>
    </row>
    <row r="12" spans="1:10" s="153" customFormat="1" ht="30" x14ac:dyDescent="0.25">
      <c r="A12" s="177"/>
      <c r="B12" s="189"/>
      <c r="C12" s="195" t="s">
        <v>172</v>
      </c>
      <c r="D12" s="179" t="s">
        <v>173</v>
      </c>
      <c r="E12" s="179" t="s">
        <v>174</v>
      </c>
      <c r="F12" s="180" t="s">
        <v>354</v>
      </c>
      <c r="G12" s="178" t="s">
        <v>172</v>
      </c>
      <c r="H12" s="179" t="s">
        <v>173</v>
      </c>
      <c r="I12" s="179" t="s">
        <v>174</v>
      </c>
      <c r="J12" s="196" t="s">
        <v>354</v>
      </c>
    </row>
    <row r="13" spans="1:10" ht="15" customHeight="1" thickBot="1" x14ac:dyDescent="0.3">
      <c r="A13" s="129"/>
      <c r="B13" s="189"/>
      <c r="C13" s="197" t="s">
        <v>176</v>
      </c>
      <c r="D13" s="185" t="s">
        <v>177</v>
      </c>
      <c r="E13" s="185"/>
      <c r="F13" s="186"/>
      <c r="G13" s="184" t="s">
        <v>176</v>
      </c>
      <c r="H13" s="185" t="s">
        <v>177</v>
      </c>
      <c r="I13" s="185"/>
      <c r="J13" s="198"/>
    </row>
    <row r="14" spans="1:10" ht="30" x14ac:dyDescent="0.25">
      <c r="A14" s="18"/>
      <c r="B14" s="190" t="s">
        <v>178</v>
      </c>
      <c r="C14" s="199" t="e">
        <f>F14*((1000/C5)*C6*10^6)/(10^12)*(10^6)</f>
        <v>#VALUE!</v>
      </c>
      <c r="D14" s="179"/>
      <c r="E14" s="187" t="s">
        <v>182</v>
      </c>
      <c r="F14" s="183">
        <v>4.1000000000000003E-3</v>
      </c>
      <c r="G14" s="205" t="e">
        <f>+'5. AP-42-benzene EF'!F69</f>
        <v>#VALUE!</v>
      </c>
      <c r="H14" s="179"/>
      <c r="I14" s="187" t="s">
        <v>477</v>
      </c>
      <c r="J14" s="200">
        <v>1.2E-5</v>
      </c>
    </row>
    <row r="15" spans="1:10" x14ac:dyDescent="0.25">
      <c r="A15" s="18"/>
      <c r="B15" s="190" t="s">
        <v>365</v>
      </c>
      <c r="C15" s="199" t="e">
        <f>F15*((1000/C5)*C6*1000000)/(10^12)*(10^6)</f>
        <v>#VALUE!</v>
      </c>
      <c r="D15" s="179"/>
      <c r="E15" s="187" t="s">
        <v>182</v>
      </c>
      <c r="F15" s="188">
        <v>0.1</v>
      </c>
      <c r="G15" s="205" t="e">
        <f>+'5. AP-42-benzene EF'!F75</f>
        <v>#VALUE!</v>
      </c>
      <c r="H15" s="179"/>
      <c r="I15" s="187" t="s">
        <v>478</v>
      </c>
      <c r="J15" s="200">
        <v>1.58E-3</v>
      </c>
    </row>
    <row r="16" spans="1:10" x14ac:dyDescent="0.25">
      <c r="A16" s="18"/>
      <c r="B16" s="190" t="s">
        <v>366</v>
      </c>
      <c r="C16" s="199" t="e">
        <f>F16*((1000/C5)*C6*1000000)/(10^12)*1000000</f>
        <v>#VALUE!</v>
      </c>
      <c r="D16" s="179"/>
      <c r="E16" s="187" t="s">
        <v>182</v>
      </c>
      <c r="F16" s="188">
        <v>0.11</v>
      </c>
      <c r="G16" s="205" t="e">
        <f>+J16*'5. AP-42-benzene EF'!E75/C5/1000000</f>
        <v>#VALUE!</v>
      </c>
      <c r="H16" s="179"/>
      <c r="I16" s="187" t="s">
        <v>479</v>
      </c>
      <c r="J16" s="200">
        <v>4.4000000000000002E-4</v>
      </c>
    </row>
    <row r="17" spans="1:10" x14ac:dyDescent="0.25">
      <c r="A17" s="18"/>
      <c r="B17" s="191" t="s">
        <v>186</v>
      </c>
      <c r="C17" s="199">
        <f>'4.AP-42 CH4 factor tables'!F69*1000000</f>
        <v>677.64705882352951</v>
      </c>
      <c r="D17" s="179"/>
      <c r="E17" s="187" t="s">
        <v>182</v>
      </c>
      <c r="F17" s="180">
        <v>1.6E-2</v>
      </c>
      <c r="G17" s="205">
        <f>+'5. AP-42-benzene EF'!F72</f>
        <v>1.6991576470588236E-4</v>
      </c>
      <c r="H17" s="179"/>
      <c r="I17" s="187" t="s">
        <v>480</v>
      </c>
      <c r="J17" s="200">
        <v>9.3300000000000002E-4</v>
      </c>
    </row>
    <row r="18" spans="1:10" x14ac:dyDescent="0.25">
      <c r="A18" s="18"/>
      <c r="B18" s="190" t="s">
        <v>340</v>
      </c>
      <c r="C18" s="199" t="e">
        <f>F18*1000000/0.028317/1000000/C5*1000</f>
        <v>#VALUE!</v>
      </c>
      <c r="D18" s="179"/>
      <c r="E18" s="187" t="s">
        <v>188</v>
      </c>
      <c r="F18" s="180">
        <v>1.1000000000000001E-3</v>
      </c>
      <c r="G18" s="205" t="e">
        <f>+'5. AP-42-benzene EF'!F66</f>
        <v>#VALUE!</v>
      </c>
      <c r="H18" s="179"/>
      <c r="I18" s="187" t="s">
        <v>481</v>
      </c>
      <c r="J18" s="200">
        <v>2.0999999999999999E-3</v>
      </c>
    </row>
    <row r="19" spans="1:10" ht="15.75" thickBot="1" x14ac:dyDescent="0.3">
      <c r="B19" s="190" t="s">
        <v>189</v>
      </c>
      <c r="C19" s="201" t="e">
        <f>F19*1000000/C5</f>
        <v>#VALUE!</v>
      </c>
      <c r="D19" s="202">
        <v>98</v>
      </c>
      <c r="E19" s="203" t="s">
        <v>190</v>
      </c>
      <c r="F19" s="186">
        <v>1.2E-2</v>
      </c>
      <c r="G19" s="204"/>
      <c r="H19" s="202">
        <v>99</v>
      </c>
      <c r="I19" s="203" t="s">
        <v>190</v>
      </c>
      <c r="J19" s="198"/>
    </row>
    <row r="20" spans="1:10" x14ac:dyDescent="0.25">
      <c r="B20" s="153"/>
      <c r="C20" s="153"/>
      <c r="D20" s="153"/>
      <c r="E20" s="153"/>
      <c r="F20" s="153"/>
      <c r="G20" s="153"/>
      <c r="H20" s="153"/>
      <c r="I20" s="153"/>
      <c r="J20" s="153"/>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0"/>
  <sheetViews>
    <sheetView topLeftCell="A11" zoomScaleNormal="70" zoomScalePageLayoutView="70" workbookViewId="0">
      <selection activeCell="D29" sqref="D29"/>
    </sheetView>
  </sheetViews>
  <sheetFormatPr defaultColWidth="8.7109375" defaultRowHeight="15" x14ac:dyDescent="0.25"/>
  <cols>
    <col min="1" max="1" width="13.140625" customWidth="1"/>
    <col min="2" max="2" width="12.42578125" customWidth="1"/>
    <col min="3" max="3" width="10.42578125" customWidth="1"/>
    <col min="5" max="5" width="9.7109375" customWidth="1"/>
    <col min="6" max="6" width="11" customWidth="1"/>
  </cols>
  <sheetData>
    <row r="1" spans="1:18" x14ac:dyDescent="0.25">
      <c r="A1" s="29" t="s">
        <v>150</v>
      </c>
      <c r="B1" s="53"/>
      <c r="C1" s="53"/>
      <c r="D1" s="53"/>
      <c r="E1" s="53"/>
      <c r="F1" s="53"/>
      <c r="G1" s="53"/>
      <c r="H1" s="53"/>
      <c r="I1" s="53"/>
      <c r="J1" s="53"/>
      <c r="K1" s="53"/>
      <c r="L1" s="53"/>
      <c r="M1" s="53"/>
      <c r="N1" s="53"/>
      <c r="O1" s="53"/>
      <c r="P1" s="53"/>
      <c r="Q1" s="53"/>
      <c r="R1" s="53"/>
    </row>
    <row r="2" spans="1:18" x14ac:dyDescent="0.25">
      <c r="A2" s="53"/>
      <c r="B2" s="53"/>
      <c r="C2" s="54" t="s">
        <v>151</v>
      </c>
      <c r="D2" s="53"/>
      <c r="E2" s="53"/>
      <c r="F2" s="53"/>
      <c r="G2" s="53"/>
      <c r="H2" s="53"/>
      <c r="I2" s="53"/>
      <c r="J2" s="53"/>
      <c r="K2" s="53"/>
      <c r="L2" s="53"/>
      <c r="M2" s="53"/>
      <c r="N2" s="53"/>
      <c r="O2" s="53"/>
      <c r="P2" s="53"/>
      <c r="Q2" s="53"/>
      <c r="R2" s="53"/>
    </row>
    <row r="3" spans="1:18" x14ac:dyDescent="0.25">
      <c r="A3" s="53"/>
      <c r="B3" s="53"/>
      <c r="C3" s="55" t="s">
        <v>152</v>
      </c>
      <c r="D3" s="53"/>
      <c r="E3" s="53"/>
      <c r="F3" s="53"/>
      <c r="G3" s="55">
        <v>1</v>
      </c>
      <c r="H3" s="55" t="s">
        <v>153</v>
      </c>
      <c r="I3" s="55"/>
      <c r="J3" s="55"/>
      <c r="K3" s="53"/>
      <c r="L3" s="53"/>
      <c r="M3" s="53"/>
      <c r="N3" s="53"/>
      <c r="O3" s="53"/>
      <c r="P3" s="53"/>
      <c r="Q3" s="53"/>
      <c r="R3" s="53"/>
    </row>
    <row r="4" spans="1:18" x14ac:dyDescent="0.25">
      <c r="A4" s="54" t="s">
        <v>154</v>
      </c>
      <c r="B4" s="53"/>
      <c r="C4" s="53"/>
      <c r="D4" s="53"/>
      <c r="E4" s="53"/>
      <c r="F4" s="53"/>
      <c r="G4" s="55">
        <v>2</v>
      </c>
      <c r="H4" s="55" t="s">
        <v>155</v>
      </c>
      <c r="I4" s="55"/>
      <c r="J4" s="55"/>
      <c r="K4" s="53"/>
      <c r="L4" s="53"/>
      <c r="M4" s="53"/>
      <c r="N4" s="53"/>
      <c r="O4" s="53"/>
      <c r="P4" s="53"/>
      <c r="Q4" s="53"/>
      <c r="R4" s="53"/>
    </row>
    <row r="5" spans="1:18" x14ac:dyDescent="0.25">
      <c r="A5" s="54" t="s">
        <v>156</v>
      </c>
      <c r="B5" s="54">
        <v>0.78</v>
      </c>
      <c r="C5" s="54">
        <v>0.78</v>
      </c>
      <c r="D5" s="53"/>
      <c r="E5" s="54" t="s">
        <v>157</v>
      </c>
      <c r="F5" s="53"/>
      <c r="G5" s="55">
        <v>3</v>
      </c>
      <c r="H5" s="55" t="s">
        <v>158</v>
      </c>
      <c r="I5" s="55"/>
      <c r="J5" s="55"/>
      <c r="K5" s="53"/>
      <c r="L5" s="53"/>
      <c r="M5" s="53"/>
      <c r="N5" s="53"/>
      <c r="O5" s="53"/>
      <c r="P5" s="53"/>
      <c r="Q5" s="53"/>
      <c r="R5" s="53"/>
    </row>
    <row r="6" spans="1:18" ht="30" x14ac:dyDescent="0.25">
      <c r="A6" s="54" t="s">
        <v>159</v>
      </c>
      <c r="B6" s="53"/>
      <c r="C6" s="51">
        <v>31.9</v>
      </c>
      <c r="D6" s="53"/>
      <c r="E6" s="54" t="s">
        <v>160</v>
      </c>
      <c r="F6" s="53"/>
      <c r="G6" s="55">
        <v>4</v>
      </c>
      <c r="H6" s="55" t="s">
        <v>161</v>
      </c>
      <c r="I6" s="55"/>
      <c r="J6" s="55"/>
      <c r="K6" s="53"/>
      <c r="L6" s="53"/>
      <c r="M6" s="53"/>
      <c r="N6" s="53"/>
      <c r="O6" s="53"/>
      <c r="P6" s="53"/>
      <c r="Q6" s="53"/>
      <c r="R6" s="53"/>
    </row>
    <row r="7" spans="1:18" ht="30" x14ac:dyDescent="0.25">
      <c r="A7" s="53"/>
      <c r="B7" s="53"/>
      <c r="C7" s="54" t="s">
        <v>162</v>
      </c>
      <c r="D7" s="53"/>
      <c r="E7" s="53"/>
      <c r="F7" s="53"/>
      <c r="G7" s="55">
        <v>5</v>
      </c>
      <c r="H7" s="55" t="s">
        <v>163</v>
      </c>
      <c r="I7" s="55"/>
      <c r="J7" s="55"/>
      <c r="K7" s="53"/>
      <c r="L7" s="53"/>
      <c r="M7" s="53"/>
      <c r="N7" s="53"/>
      <c r="O7" s="53"/>
      <c r="P7" s="53"/>
      <c r="Q7" s="53"/>
      <c r="R7" s="53"/>
    </row>
    <row r="8" spans="1:18" x14ac:dyDescent="0.25">
      <c r="A8" s="53"/>
      <c r="B8" s="53"/>
      <c r="C8" s="62">
        <v>24.451410658307211</v>
      </c>
      <c r="D8" s="53"/>
      <c r="E8" s="54" t="s">
        <v>164</v>
      </c>
      <c r="F8" s="53"/>
      <c r="G8" s="53"/>
      <c r="H8" s="53"/>
      <c r="I8" s="53"/>
      <c r="J8" s="53"/>
      <c r="K8" s="53"/>
      <c r="L8" s="53"/>
      <c r="M8" s="53"/>
      <c r="N8" s="53"/>
      <c r="O8" s="53"/>
      <c r="P8" s="53"/>
      <c r="Q8" s="53"/>
      <c r="R8" s="53"/>
    </row>
    <row r="9" spans="1:18" ht="30" x14ac:dyDescent="0.25">
      <c r="A9" s="54" t="s">
        <v>165</v>
      </c>
      <c r="B9" s="53"/>
      <c r="C9" s="53"/>
      <c r="D9" s="53"/>
      <c r="E9" s="53"/>
      <c r="F9" s="53"/>
      <c r="G9" s="53"/>
      <c r="H9" s="53"/>
      <c r="I9" s="53"/>
      <c r="J9" s="53"/>
      <c r="K9" s="53"/>
      <c r="L9" s="53"/>
      <c r="M9" s="53"/>
      <c r="N9" s="53"/>
      <c r="O9" s="53"/>
      <c r="P9" s="53"/>
      <c r="Q9" s="53"/>
      <c r="R9" s="53"/>
    </row>
    <row r="10" spans="1:18" x14ac:dyDescent="0.25">
      <c r="A10" s="54" t="s">
        <v>156</v>
      </c>
      <c r="B10" s="54">
        <v>1</v>
      </c>
      <c r="C10" s="54" t="s">
        <v>157</v>
      </c>
      <c r="D10" s="53"/>
      <c r="E10" s="53"/>
      <c r="F10" s="53"/>
      <c r="G10" s="53"/>
      <c r="H10" s="53"/>
      <c r="I10" s="53"/>
      <c r="J10" s="53"/>
      <c r="K10" s="53"/>
      <c r="L10" s="53"/>
      <c r="M10" s="53"/>
      <c r="N10" s="53"/>
      <c r="O10" s="53"/>
      <c r="P10" s="53"/>
      <c r="Q10" s="53"/>
      <c r="R10" s="53"/>
    </row>
    <row r="11" spans="1:18" ht="15.75" thickBot="1" x14ac:dyDescent="0.3">
      <c r="A11" s="54" t="s">
        <v>159</v>
      </c>
      <c r="B11" s="53"/>
      <c r="C11" s="54" t="s">
        <v>166</v>
      </c>
      <c r="D11" s="53"/>
      <c r="E11" s="53"/>
      <c r="F11" s="53"/>
      <c r="G11" s="53"/>
      <c r="H11" s="53"/>
      <c r="I11" s="53"/>
      <c r="J11" s="53"/>
      <c r="K11" s="53"/>
      <c r="L11" s="53"/>
      <c r="M11" s="53"/>
      <c r="N11" s="53"/>
      <c r="O11" s="53"/>
      <c r="P11" s="53"/>
      <c r="Q11" s="53"/>
      <c r="R11" s="53"/>
    </row>
    <row r="12" spans="1:18" x14ac:dyDescent="0.25">
      <c r="A12" s="71"/>
      <c r="B12" s="72"/>
      <c r="C12" s="72"/>
      <c r="D12" s="373" t="s">
        <v>167</v>
      </c>
      <c r="E12" s="373"/>
      <c r="F12" s="373"/>
      <c r="G12" s="374" t="s">
        <v>168</v>
      </c>
      <c r="H12" s="374"/>
      <c r="I12" s="374"/>
      <c r="J12" s="373" t="s">
        <v>169</v>
      </c>
      <c r="K12" s="373"/>
      <c r="L12" s="373"/>
      <c r="M12" s="374" t="s">
        <v>170</v>
      </c>
      <c r="N12" s="374"/>
      <c r="O12" s="374"/>
      <c r="P12" s="373" t="s">
        <v>171</v>
      </c>
      <c r="Q12" s="373"/>
      <c r="R12" s="375"/>
    </row>
    <row r="13" spans="1:18" ht="45" x14ac:dyDescent="0.25">
      <c r="A13" s="73"/>
      <c r="B13" s="56"/>
      <c r="C13" s="56"/>
      <c r="D13" s="57" t="s">
        <v>172</v>
      </c>
      <c r="E13" s="57" t="s">
        <v>173</v>
      </c>
      <c r="F13" s="57" t="s">
        <v>174</v>
      </c>
      <c r="G13" s="56" t="s">
        <v>172</v>
      </c>
      <c r="H13" s="56" t="s">
        <v>173</v>
      </c>
      <c r="I13" s="56" t="s">
        <v>174</v>
      </c>
      <c r="J13" s="57" t="s">
        <v>172</v>
      </c>
      <c r="K13" s="57" t="s">
        <v>173</v>
      </c>
      <c r="L13" s="57" t="s">
        <v>174</v>
      </c>
      <c r="M13" s="56" t="s">
        <v>172</v>
      </c>
      <c r="N13" s="56" t="s">
        <v>173</v>
      </c>
      <c r="O13" s="56" t="s">
        <v>174</v>
      </c>
      <c r="P13" s="57" t="s">
        <v>172</v>
      </c>
      <c r="Q13" s="57" t="s">
        <v>173</v>
      </c>
      <c r="R13" s="66" t="s">
        <v>174</v>
      </c>
    </row>
    <row r="14" spans="1:18" ht="30.75" thickBot="1" x14ac:dyDescent="0.3">
      <c r="A14" s="74"/>
      <c r="B14" s="67"/>
      <c r="C14" s="67" t="s">
        <v>175</v>
      </c>
      <c r="D14" s="68" t="s">
        <v>176</v>
      </c>
      <c r="E14" s="68" t="s">
        <v>177</v>
      </c>
      <c r="F14" s="68"/>
      <c r="G14" s="67" t="s">
        <v>176</v>
      </c>
      <c r="H14" s="67" t="s">
        <v>177</v>
      </c>
      <c r="I14" s="67"/>
      <c r="J14" s="68" t="s">
        <v>176</v>
      </c>
      <c r="K14" s="68" t="s">
        <v>177</v>
      </c>
      <c r="L14" s="68"/>
      <c r="M14" s="67" t="s">
        <v>176</v>
      </c>
      <c r="N14" s="67" t="s">
        <v>177</v>
      </c>
      <c r="O14" s="67"/>
      <c r="P14" s="68" t="s">
        <v>176</v>
      </c>
      <c r="Q14" s="68" t="s">
        <v>177</v>
      </c>
      <c r="R14" s="69"/>
    </row>
    <row r="15" spans="1:18" ht="45" x14ac:dyDescent="0.25">
      <c r="A15" s="79" t="s">
        <v>178</v>
      </c>
      <c r="B15" s="63" t="s">
        <v>179</v>
      </c>
      <c r="C15" s="63" t="s">
        <v>180</v>
      </c>
      <c r="D15" s="64">
        <f>0.0004*1000000</f>
        <v>400</v>
      </c>
      <c r="E15" s="64">
        <v>100</v>
      </c>
      <c r="F15" s="64">
        <v>1</v>
      </c>
      <c r="G15" s="63">
        <f>0.0002*1000000</f>
        <v>200</v>
      </c>
      <c r="H15" s="63">
        <v>100</v>
      </c>
      <c r="I15" s="63">
        <v>1</v>
      </c>
      <c r="J15" s="64">
        <f>0.0027*1000000</f>
        <v>2700</v>
      </c>
      <c r="K15" s="64">
        <v>100</v>
      </c>
      <c r="L15" s="64">
        <v>1</v>
      </c>
      <c r="M15" s="63">
        <f>0.00015*1000000</f>
        <v>150</v>
      </c>
      <c r="N15" s="63">
        <v>100</v>
      </c>
      <c r="O15" s="63">
        <v>4</v>
      </c>
      <c r="P15" s="64">
        <f>0.000051*1000000</f>
        <v>51</v>
      </c>
      <c r="Q15" s="64">
        <v>100</v>
      </c>
      <c r="R15" s="65">
        <v>1</v>
      </c>
    </row>
    <row r="16" spans="1:18" ht="45" x14ac:dyDescent="0.25">
      <c r="A16" s="80"/>
      <c r="B16" s="56" t="s">
        <v>151</v>
      </c>
      <c r="C16" s="56" t="s">
        <v>181</v>
      </c>
      <c r="D16" s="59">
        <f>0.0086*430/0.9*C6/C5</f>
        <v>168.04301994301991</v>
      </c>
      <c r="E16" s="57"/>
      <c r="F16" s="57" t="s">
        <v>182</v>
      </c>
      <c r="G16" s="60">
        <f>0.003*430/0.9*31.9/0.78</f>
        <v>58.619658119658112</v>
      </c>
      <c r="H16" s="56"/>
      <c r="I16" s="58" t="s">
        <v>182</v>
      </c>
      <c r="J16" s="59">
        <f>0.082*430/0.9*31.9/0.78</f>
        <v>1602.270655270655</v>
      </c>
      <c r="K16" s="57"/>
      <c r="L16" s="57" t="s">
        <v>182</v>
      </c>
      <c r="M16" s="60">
        <f>0.0066*430/0.9*31.9/0.78</f>
        <v>128.96324786324786</v>
      </c>
      <c r="N16" s="56"/>
      <c r="O16" s="58" t="s">
        <v>182</v>
      </c>
      <c r="P16" s="59">
        <f>0.0021*430/0.9*31.9/0.78</f>
        <v>41.033760683760676</v>
      </c>
      <c r="Q16" s="57"/>
      <c r="R16" s="66" t="s">
        <v>182</v>
      </c>
    </row>
    <row r="17" spans="1:18" ht="15.75" thickBot="1" x14ac:dyDescent="0.3">
      <c r="A17" s="81"/>
      <c r="B17" s="67" t="s">
        <v>183</v>
      </c>
      <c r="C17" s="67"/>
      <c r="D17" s="70">
        <f>0.115*1000/0.78</f>
        <v>147.43589743589743</v>
      </c>
      <c r="E17" s="68"/>
      <c r="F17" s="68" t="s">
        <v>184</v>
      </c>
      <c r="G17" s="67"/>
      <c r="H17" s="67"/>
      <c r="I17" s="67"/>
      <c r="J17" s="68"/>
      <c r="K17" s="68"/>
      <c r="L17" s="68"/>
      <c r="M17" s="67"/>
      <c r="N17" s="67"/>
      <c r="O17" s="67"/>
      <c r="P17" s="68"/>
      <c r="Q17" s="68"/>
      <c r="R17" s="69"/>
    </row>
    <row r="18" spans="1:18" ht="30" x14ac:dyDescent="0.25">
      <c r="A18" s="79" t="s">
        <v>185</v>
      </c>
      <c r="B18" s="63" t="s">
        <v>179</v>
      </c>
      <c r="C18" s="63" t="s">
        <v>180</v>
      </c>
      <c r="D18" s="64">
        <f>0.028*1000000</f>
        <v>28000</v>
      </c>
      <c r="E18" s="64">
        <v>100</v>
      </c>
      <c r="F18" s="64">
        <v>1</v>
      </c>
      <c r="G18" s="63">
        <f>0.0002*1000000</f>
        <v>200</v>
      </c>
      <c r="H18" s="63">
        <v>100</v>
      </c>
      <c r="I18" s="63">
        <v>1</v>
      </c>
      <c r="J18" s="64">
        <f>0.0096*1000000</f>
        <v>9600</v>
      </c>
      <c r="K18" s="64">
        <v>100</v>
      </c>
      <c r="L18" s="64">
        <v>1</v>
      </c>
      <c r="M18" s="63">
        <f>0.00015*1000000</f>
        <v>150</v>
      </c>
      <c r="N18" s="63">
        <v>100</v>
      </c>
      <c r="O18" s="63"/>
      <c r="P18" s="64">
        <f>0.003*1000000</f>
        <v>3000</v>
      </c>
      <c r="Q18" s="64">
        <v>100</v>
      </c>
      <c r="R18" s="65">
        <v>1</v>
      </c>
    </row>
    <row r="19" spans="1:18" ht="45" x14ac:dyDescent="0.25">
      <c r="A19" s="80"/>
      <c r="B19" s="56" t="s">
        <v>151</v>
      </c>
      <c r="C19" s="56" t="s">
        <v>181</v>
      </c>
      <c r="D19" s="59">
        <f>1.25*430/0.9*31.9/0.78</f>
        <v>24424.857549857545</v>
      </c>
      <c r="E19" s="57"/>
      <c r="F19" s="57" t="s">
        <v>182</v>
      </c>
      <c r="G19" s="61">
        <f>100/C5</f>
        <v>128.2051282051282</v>
      </c>
      <c r="H19" s="56"/>
      <c r="I19" s="58">
        <v>2</v>
      </c>
      <c r="J19" s="59">
        <f>0.557*430/0.9*31.9/0.78</f>
        <v>10883.716524216527</v>
      </c>
      <c r="K19" s="57"/>
      <c r="L19" s="57" t="s">
        <v>182</v>
      </c>
      <c r="M19" s="60">
        <f>0.0000771*430/0.9*31.9/0.78</f>
        <v>1.5065252136752139</v>
      </c>
      <c r="N19" s="56"/>
      <c r="O19" s="58" t="s">
        <v>182</v>
      </c>
      <c r="P19" s="59">
        <f>0.118*430/0.9*31.9/0.78</f>
        <v>2305.706552706552</v>
      </c>
      <c r="Q19" s="57"/>
      <c r="R19" s="66" t="s">
        <v>182</v>
      </c>
    </row>
    <row r="20" spans="1:18" ht="15.75" thickBot="1" x14ac:dyDescent="0.3">
      <c r="A20" s="81"/>
      <c r="B20" s="67" t="s">
        <v>183</v>
      </c>
      <c r="C20" s="67"/>
      <c r="D20" s="68">
        <v>60</v>
      </c>
      <c r="E20" s="68"/>
      <c r="F20" s="68"/>
      <c r="G20" s="67"/>
      <c r="H20" s="67"/>
      <c r="I20" s="67"/>
      <c r="J20" s="68"/>
      <c r="K20" s="68"/>
      <c r="L20" s="68"/>
      <c r="M20" s="67"/>
      <c r="N20" s="67"/>
      <c r="O20" s="67"/>
      <c r="P20" s="68"/>
      <c r="Q20" s="68"/>
      <c r="R20" s="69"/>
    </row>
    <row r="21" spans="1:18" ht="30" x14ac:dyDescent="0.25">
      <c r="A21" s="79" t="s">
        <v>186</v>
      </c>
      <c r="B21" s="63" t="s">
        <v>179</v>
      </c>
      <c r="C21" s="63" t="s">
        <v>180</v>
      </c>
      <c r="D21" s="64">
        <f>0.0001*1000000</f>
        <v>100</v>
      </c>
      <c r="E21" s="64">
        <v>100</v>
      </c>
      <c r="F21" s="64">
        <v>1</v>
      </c>
      <c r="G21" s="63">
        <f>0.0002*1000000</f>
        <v>200</v>
      </c>
      <c r="H21" s="63">
        <v>100</v>
      </c>
      <c r="I21" s="63">
        <v>1</v>
      </c>
      <c r="J21" s="64">
        <f>0.019*1000000</f>
        <v>19000</v>
      </c>
      <c r="K21" s="64">
        <v>100</v>
      </c>
      <c r="L21" s="64">
        <v>1</v>
      </c>
      <c r="M21" s="63">
        <f>0.0061*1000000</f>
        <v>6100</v>
      </c>
      <c r="N21" s="63">
        <v>100</v>
      </c>
      <c r="O21" s="63">
        <v>4</v>
      </c>
      <c r="P21" s="64">
        <f>0.0019*1000000</f>
        <v>1900</v>
      </c>
      <c r="Q21" s="64">
        <v>100</v>
      </c>
      <c r="R21" s="65">
        <v>1</v>
      </c>
    </row>
    <row r="22" spans="1:18" ht="45" x14ac:dyDescent="0.25">
      <c r="A22" s="80"/>
      <c r="B22" s="56" t="s">
        <v>151</v>
      </c>
      <c r="C22" s="56" t="s">
        <v>181</v>
      </c>
      <c r="D22" s="59">
        <f>0.0081*430*43/0.84</f>
        <v>178.29642857142855</v>
      </c>
      <c r="E22" s="57"/>
      <c r="F22" s="57" t="s">
        <v>182</v>
      </c>
      <c r="G22" s="61">
        <f>0.0006*1000000/C5</f>
        <v>769.23076923076917</v>
      </c>
      <c r="H22" s="56"/>
      <c r="I22" s="56"/>
      <c r="J22" s="59">
        <f>0.85*430/0.9*31.9/0.78</f>
        <v>16608.903133903132</v>
      </c>
      <c r="K22" s="57"/>
      <c r="L22" s="57" t="s">
        <v>182</v>
      </c>
      <c r="M22" s="60">
        <f>0.0573*430/0.9*31.9/0.78</f>
        <v>1119.6354700854699</v>
      </c>
      <c r="N22" s="56"/>
      <c r="O22" s="58" t="s">
        <v>182</v>
      </c>
      <c r="P22" s="59">
        <f>0.0819*430/0.9*31.9/0.78</f>
        <v>1600.3166666666664</v>
      </c>
      <c r="Q22" s="57"/>
      <c r="R22" s="66" t="s">
        <v>182</v>
      </c>
    </row>
    <row r="23" spans="1:18" ht="15.75" thickBot="1" x14ac:dyDescent="0.3">
      <c r="A23" s="81"/>
      <c r="B23" s="67" t="s">
        <v>183</v>
      </c>
      <c r="C23" s="67"/>
      <c r="D23" s="68">
        <v>140</v>
      </c>
      <c r="E23" s="68"/>
      <c r="F23" s="68"/>
      <c r="G23" s="67"/>
      <c r="H23" s="67"/>
      <c r="I23" s="67"/>
      <c r="J23" s="68"/>
      <c r="K23" s="68"/>
      <c r="L23" s="68"/>
      <c r="M23" s="67"/>
      <c r="N23" s="67"/>
      <c r="O23" s="67"/>
      <c r="P23" s="68"/>
      <c r="Q23" s="68"/>
      <c r="R23" s="69"/>
    </row>
    <row r="24" spans="1:18" ht="30" x14ac:dyDescent="0.25">
      <c r="A24" s="79" t="s">
        <v>187</v>
      </c>
      <c r="B24" s="63" t="s">
        <v>179</v>
      </c>
      <c r="C24" s="63" t="s">
        <v>180</v>
      </c>
      <c r="D24" s="64">
        <f>0.00007*1000000</f>
        <v>70</v>
      </c>
      <c r="E24" s="64">
        <v>100</v>
      </c>
      <c r="F24" s="64">
        <v>1</v>
      </c>
      <c r="G24" s="63">
        <f>0.0002*1000000</f>
        <v>200</v>
      </c>
      <c r="H24" s="63">
        <v>100</v>
      </c>
      <c r="I24" s="63">
        <v>1</v>
      </c>
      <c r="J24" s="64">
        <f>0.0008*1000000</f>
        <v>800</v>
      </c>
      <c r="K24" s="64">
        <v>100</v>
      </c>
      <c r="L24" s="64">
        <v>1</v>
      </c>
      <c r="M24" s="63">
        <f>0.0031*1000000</f>
        <v>3100</v>
      </c>
      <c r="N24" s="63">
        <v>100</v>
      </c>
      <c r="O24" s="63">
        <v>4</v>
      </c>
      <c r="P24" s="64">
        <f>0.0006*1000000</f>
        <v>600</v>
      </c>
      <c r="Q24" s="64">
        <v>100</v>
      </c>
      <c r="R24" s="65">
        <v>1</v>
      </c>
    </row>
    <row r="25" spans="1:18" ht="45.75" thickBot="1" x14ac:dyDescent="0.3">
      <c r="A25" s="81"/>
      <c r="B25" s="67" t="s">
        <v>151</v>
      </c>
      <c r="C25" s="67" t="s">
        <v>181</v>
      </c>
      <c r="D25" s="70">
        <f>2.3*0.000454*1000000/0.028317/1000000/0.78*1000</f>
        <v>47.276122072180975</v>
      </c>
      <c r="E25" s="68"/>
      <c r="F25" s="68" t="s">
        <v>188</v>
      </c>
      <c r="G25" s="75">
        <f>2.2*0.000454*1000000/0.028317/1000000/0.78*1000</f>
        <v>45.220638503825278</v>
      </c>
      <c r="H25" s="67"/>
      <c r="I25" s="76" t="s">
        <v>188</v>
      </c>
      <c r="J25" s="70">
        <f>84*0.000454*1000000/0.028317/1000000/0.78*1000</f>
        <v>1726.6061974187835</v>
      </c>
      <c r="K25" s="68"/>
      <c r="L25" s="68" t="s">
        <v>188</v>
      </c>
      <c r="M25" s="75">
        <f>7.6*0.000454*1000000/0.028317/1000000/0.78*1000</f>
        <v>156.21675119503277</v>
      </c>
      <c r="N25" s="67"/>
      <c r="O25" s="76" t="s">
        <v>188</v>
      </c>
      <c r="P25" s="70">
        <f>5.5*0.000454*1000000/0.028317/1000000/0.78*1000</f>
        <v>113.05159625956321</v>
      </c>
      <c r="Q25" s="68"/>
      <c r="R25" s="69" t="s">
        <v>188</v>
      </c>
    </row>
    <row r="26" spans="1:18" ht="30" x14ac:dyDescent="0.25">
      <c r="A26" s="79" t="s">
        <v>189</v>
      </c>
      <c r="B26" s="63" t="s">
        <v>179</v>
      </c>
      <c r="C26" s="63" t="s">
        <v>180</v>
      </c>
      <c r="D26" s="64">
        <f>20000*0.9</f>
        <v>18000</v>
      </c>
      <c r="E26" s="64">
        <v>98</v>
      </c>
      <c r="F26" s="64"/>
      <c r="G26" s="63">
        <f>0.000081*1000000</f>
        <v>81</v>
      </c>
      <c r="H26" s="63"/>
      <c r="I26" s="63">
        <v>1</v>
      </c>
      <c r="J26" s="64">
        <f>0.0087*1000000</f>
        <v>8700</v>
      </c>
      <c r="K26" s="64">
        <v>100</v>
      </c>
      <c r="L26" s="64">
        <v>1</v>
      </c>
      <c r="M26" s="63">
        <f>0.0005*1000000</f>
        <v>500</v>
      </c>
      <c r="N26" s="63">
        <v>100</v>
      </c>
      <c r="O26" s="63">
        <v>1</v>
      </c>
      <c r="P26" s="64"/>
      <c r="Q26" s="64">
        <v>98</v>
      </c>
      <c r="R26" s="65"/>
    </row>
    <row r="27" spans="1:18" ht="45" x14ac:dyDescent="0.25">
      <c r="A27" s="80"/>
      <c r="B27" s="56" t="s">
        <v>151</v>
      </c>
      <c r="C27" s="56" t="s">
        <v>181</v>
      </c>
      <c r="D27" s="59">
        <f>0.012*1000000/0.78</f>
        <v>15384.615384615385</v>
      </c>
      <c r="E27" s="57">
        <v>98</v>
      </c>
      <c r="F27" s="57" t="s">
        <v>190</v>
      </c>
      <c r="G27" s="78">
        <f>0.000023*1000000/0.78</f>
        <v>29.487179487179485</v>
      </c>
      <c r="H27" s="56"/>
      <c r="I27" s="56" t="s">
        <v>190</v>
      </c>
      <c r="J27" s="59">
        <f>0.37*430/0.9*31.9/0.78</f>
        <v>7229.7578347578337</v>
      </c>
      <c r="K27" s="57"/>
      <c r="L27" s="57" t="s">
        <v>191</v>
      </c>
      <c r="M27" s="60">
        <v>0</v>
      </c>
      <c r="N27" s="56"/>
      <c r="O27" s="58"/>
      <c r="P27" s="57"/>
      <c r="Q27" s="57"/>
      <c r="R27" s="66"/>
    </row>
    <row r="28" spans="1:18" ht="15.75" thickBot="1" x14ac:dyDescent="0.3">
      <c r="A28" s="81"/>
      <c r="B28" s="77" t="s">
        <v>183</v>
      </c>
      <c r="C28" s="77"/>
      <c r="D28" s="68">
        <v>35000</v>
      </c>
      <c r="E28" s="68">
        <v>96.5</v>
      </c>
      <c r="F28" s="68"/>
      <c r="G28" s="67"/>
      <c r="H28" s="67"/>
      <c r="I28" s="67"/>
      <c r="J28" s="68"/>
      <c r="K28" s="68"/>
      <c r="L28" s="68"/>
      <c r="M28" s="67"/>
      <c r="N28" s="67"/>
      <c r="O28" s="67"/>
      <c r="P28" s="68"/>
      <c r="Q28" s="68"/>
      <c r="R28" s="69"/>
    </row>
    <row r="30" spans="1:18" x14ac:dyDescent="0.25">
      <c r="A30" s="53"/>
      <c r="B30" s="53"/>
      <c r="C30" s="53"/>
      <c r="D30" s="53"/>
      <c r="E30" s="53"/>
      <c r="F30" s="53"/>
      <c r="G30" s="53"/>
      <c r="H30" s="53"/>
      <c r="I30" s="53"/>
      <c r="J30" s="53"/>
      <c r="K30" s="53"/>
      <c r="L30" s="53"/>
      <c r="M30" s="53"/>
      <c r="N30" s="53"/>
      <c r="O30" s="53"/>
      <c r="P30" s="53"/>
      <c r="Q30" s="53"/>
      <c r="R30" s="28"/>
    </row>
  </sheetData>
  <mergeCells count="5">
    <mergeCell ref="D12:F12"/>
    <mergeCell ref="G12:I12"/>
    <mergeCell ref="J12:L12"/>
    <mergeCell ref="M12:O12"/>
    <mergeCell ref="P12:R12"/>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4"/>
  <sheetViews>
    <sheetView zoomScale="85" zoomScaleNormal="85" zoomScalePageLayoutView="85" workbookViewId="0">
      <selection activeCell="K32" sqref="K32"/>
    </sheetView>
  </sheetViews>
  <sheetFormatPr defaultColWidth="8.7109375" defaultRowHeight="15" x14ac:dyDescent="0.25"/>
  <cols>
    <col min="1" max="1" width="51.7109375" bestFit="1" customWidth="1"/>
    <col min="2" max="2" width="14.140625" customWidth="1"/>
    <col min="3" max="3" width="66.7109375" customWidth="1"/>
  </cols>
  <sheetData>
    <row r="1" spans="1:3" ht="17.25" x14ac:dyDescent="0.3">
      <c r="A1" s="22" t="s">
        <v>213</v>
      </c>
      <c r="B1" s="17"/>
      <c r="C1" s="17"/>
    </row>
    <row r="3" spans="1:3" ht="16.5" thickBot="1" x14ac:dyDescent="0.3">
      <c r="A3" s="142" t="s">
        <v>111</v>
      </c>
      <c r="B3" s="44" t="s">
        <v>148</v>
      </c>
      <c r="C3" s="19" t="s">
        <v>149</v>
      </c>
    </row>
    <row r="4" spans="1:3" ht="15.75" thickBot="1" x14ac:dyDescent="0.3">
      <c r="A4" s="16" t="s">
        <v>234</v>
      </c>
      <c r="B4" t="s">
        <v>122</v>
      </c>
      <c r="C4" s="16" t="s">
        <v>123</v>
      </c>
    </row>
    <row r="5" spans="1:3" ht="30.75" thickBot="1" x14ac:dyDescent="0.3">
      <c r="B5" s="13" t="s">
        <v>232</v>
      </c>
      <c r="C5" s="42" t="s">
        <v>233</v>
      </c>
    </row>
    <row r="6" spans="1:3" ht="30.75" thickBot="1" x14ac:dyDescent="0.3">
      <c r="A6" s="16" t="s">
        <v>112</v>
      </c>
      <c r="B6" s="16" t="s">
        <v>122</v>
      </c>
      <c r="C6" s="15" t="s">
        <v>235</v>
      </c>
    </row>
    <row r="7" spans="1:3" ht="15.75" thickBot="1" x14ac:dyDescent="0.3">
      <c r="A7" s="16"/>
      <c r="B7" s="13" t="s">
        <v>126</v>
      </c>
      <c r="C7" s="16" t="s">
        <v>133</v>
      </c>
    </row>
    <row r="8" spans="1:3" ht="30.75" thickBot="1" x14ac:dyDescent="0.3">
      <c r="A8" s="16" t="s">
        <v>113</v>
      </c>
      <c r="B8" s="16" t="s">
        <v>122</v>
      </c>
      <c r="C8" s="15" t="s">
        <v>236</v>
      </c>
    </row>
    <row r="9" spans="1:3" ht="30.75" thickBot="1" x14ac:dyDescent="0.3">
      <c r="B9" s="13" t="s">
        <v>114</v>
      </c>
      <c r="C9" s="15" t="s">
        <v>115</v>
      </c>
    </row>
    <row r="10" spans="1:3" ht="30.75" thickBot="1" x14ac:dyDescent="0.3">
      <c r="A10" s="16"/>
      <c r="B10" s="13" t="s">
        <v>116</v>
      </c>
      <c r="C10" s="15" t="s">
        <v>117</v>
      </c>
    </row>
    <row r="11" spans="1:3" ht="45.75" thickBot="1" x14ac:dyDescent="0.3">
      <c r="A11" s="16" t="s">
        <v>118</v>
      </c>
      <c r="B11" t="s">
        <v>122</v>
      </c>
      <c r="C11" s="15" t="s">
        <v>128</v>
      </c>
    </row>
    <row r="12" spans="1:3" ht="15.75" thickBot="1" x14ac:dyDescent="0.3">
      <c r="A12" s="16"/>
      <c r="B12" s="13" t="s">
        <v>119</v>
      </c>
      <c r="C12" s="15" t="s">
        <v>120</v>
      </c>
    </row>
    <row r="15" spans="1:3" ht="16.5" thickBot="1" x14ac:dyDescent="0.3">
      <c r="A15" s="142" t="s">
        <v>121</v>
      </c>
      <c r="B15" s="26" t="s">
        <v>148</v>
      </c>
      <c r="C15" s="12" t="s">
        <v>149</v>
      </c>
    </row>
    <row r="16" spans="1:3" ht="15.75" thickBot="1" x14ac:dyDescent="0.3">
      <c r="A16" s="16" t="s">
        <v>234</v>
      </c>
      <c r="B16" s="16" t="s">
        <v>122</v>
      </c>
      <c r="C16" s="16" t="s">
        <v>123</v>
      </c>
    </row>
    <row r="17" spans="1:3" ht="30.75" thickBot="1" x14ac:dyDescent="0.3">
      <c r="A17" s="16"/>
      <c r="B17" s="13" t="s">
        <v>232</v>
      </c>
      <c r="C17" s="15" t="s">
        <v>233</v>
      </c>
    </row>
    <row r="18" spans="1:3" ht="15.75" thickBot="1" x14ac:dyDescent="0.3">
      <c r="A18" s="16" t="s">
        <v>112</v>
      </c>
      <c r="B18" s="16" t="s">
        <v>122</v>
      </c>
      <c r="C18" s="15" t="s">
        <v>123</v>
      </c>
    </row>
    <row r="19" spans="1:3" ht="30.75" thickBot="1" x14ac:dyDescent="0.3">
      <c r="A19" s="16"/>
      <c r="B19" s="13" t="s">
        <v>124</v>
      </c>
      <c r="C19" s="15" t="s">
        <v>125</v>
      </c>
    </row>
    <row r="20" spans="1:3" ht="30.75" thickBot="1" x14ac:dyDescent="0.3">
      <c r="A20" s="16"/>
      <c r="B20" s="41" t="s">
        <v>231</v>
      </c>
      <c r="C20" s="40" t="s">
        <v>230</v>
      </c>
    </row>
    <row r="21" spans="1:3" ht="15.75" thickBot="1" x14ac:dyDescent="0.3">
      <c r="A21" s="16"/>
      <c r="B21" s="13" t="s">
        <v>126</v>
      </c>
      <c r="C21" s="15" t="s">
        <v>127</v>
      </c>
    </row>
    <row r="22" spans="1:3" ht="45.75" thickBot="1" x14ac:dyDescent="0.3">
      <c r="A22" s="16" t="s">
        <v>118</v>
      </c>
      <c r="B22" s="16" t="s">
        <v>122</v>
      </c>
      <c r="C22" s="15" t="s">
        <v>128</v>
      </c>
    </row>
    <row r="23" spans="1:3" ht="30.75" thickBot="1" x14ac:dyDescent="0.3">
      <c r="A23" s="16"/>
      <c r="B23" s="13" t="s">
        <v>129</v>
      </c>
      <c r="C23" s="15" t="s">
        <v>130</v>
      </c>
    </row>
    <row r="24" spans="1:3" ht="15.75" thickBot="1" x14ac:dyDescent="0.3">
      <c r="A24" s="16"/>
      <c r="B24" s="13" t="s">
        <v>131</v>
      </c>
      <c r="C24" s="15" t="s">
        <v>132</v>
      </c>
    </row>
    <row r="26" spans="1:3" ht="16.5" thickBot="1" x14ac:dyDescent="0.3">
      <c r="A26" s="142" t="s">
        <v>76</v>
      </c>
      <c r="B26" s="26" t="s">
        <v>148</v>
      </c>
      <c r="C26" s="12" t="s">
        <v>149</v>
      </c>
    </row>
    <row r="27" spans="1:3" ht="15.75" thickBot="1" x14ac:dyDescent="0.3">
      <c r="A27" s="16" t="s">
        <v>234</v>
      </c>
      <c r="B27" s="16" t="s">
        <v>122</v>
      </c>
      <c r="C27" s="16" t="s">
        <v>123</v>
      </c>
    </row>
    <row r="28" spans="1:3" ht="30.75" thickBot="1" x14ac:dyDescent="0.3">
      <c r="A28" s="16"/>
      <c r="B28" s="13" t="s">
        <v>232</v>
      </c>
      <c r="C28" s="15" t="s">
        <v>233</v>
      </c>
    </row>
    <row r="29" spans="1:3" ht="30.75" thickBot="1" x14ac:dyDescent="0.3">
      <c r="A29" s="16" t="s">
        <v>112</v>
      </c>
      <c r="B29" s="16" t="s">
        <v>122</v>
      </c>
      <c r="C29" s="15" t="s">
        <v>235</v>
      </c>
    </row>
    <row r="30" spans="1:3" ht="30.75" thickBot="1" x14ac:dyDescent="0.3">
      <c r="A30" s="16"/>
      <c r="B30" s="13" t="s">
        <v>124</v>
      </c>
      <c r="C30" s="15" t="s">
        <v>125</v>
      </c>
    </row>
    <row r="31" spans="1:3" ht="30.75" thickBot="1" x14ac:dyDescent="0.3">
      <c r="A31" s="16"/>
      <c r="B31" s="43" t="s">
        <v>231</v>
      </c>
      <c r="C31" s="40" t="s">
        <v>230</v>
      </c>
    </row>
    <row r="32" spans="1:3" ht="15.75" thickBot="1" x14ac:dyDescent="0.3">
      <c r="A32" s="16"/>
      <c r="B32" s="13" t="s">
        <v>126</v>
      </c>
      <c r="C32" s="15" t="s">
        <v>133</v>
      </c>
    </row>
    <row r="33" spans="1:5" ht="15.75" thickBot="1" x14ac:dyDescent="0.3">
      <c r="A33" s="17"/>
      <c r="B33" s="17"/>
      <c r="C33" s="17"/>
      <c r="E33" s="28"/>
    </row>
    <row r="34" spans="1:5" ht="16.5" thickBot="1" x14ac:dyDescent="0.3">
      <c r="A34" s="143" t="s">
        <v>134</v>
      </c>
      <c r="B34" s="13" t="s">
        <v>135</v>
      </c>
      <c r="C34" s="16"/>
    </row>
  </sheetData>
  <hyperlinks>
    <hyperlink ref="B9" r:id="rId1" xr:uid="{00000000-0004-0000-0800-000000000000}"/>
    <hyperlink ref="B10" r:id="rId2" xr:uid="{00000000-0004-0000-0800-000001000000}"/>
    <hyperlink ref="B12" r:id="rId3" xr:uid="{00000000-0004-0000-0800-000002000000}"/>
    <hyperlink ref="B21" r:id="rId4" xr:uid="{00000000-0004-0000-0800-000003000000}"/>
    <hyperlink ref="B23" r:id="rId5" xr:uid="{00000000-0004-0000-0800-000004000000}"/>
    <hyperlink ref="B24" r:id="rId6" xr:uid="{00000000-0004-0000-0800-000005000000}"/>
    <hyperlink ref="B30" r:id="rId7" xr:uid="{00000000-0004-0000-0800-000006000000}"/>
    <hyperlink ref="B32" r:id="rId8" xr:uid="{00000000-0004-0000-0800-000007000000}"/>
    <hyperlink ref="B34" r:id="rId9" xr:uid="{00000000-0004-0000-0800-000008000000}"/>
    <hyperlink ref="B20" r:id="rId10" xr:uid="{00000000-0004-0000-0800-000009000000}"/>
    <hyperlink ref="B31" r:id="rId11" xr:uid="{00000000-0004-0000-0800-00000A000000}"/>
    <hyperlink ref="B7" r:id="rId12" xr:uid="{00000000-0004-0000-0800-00000B000000}"/>
    <hyperlink ref="B5" r:id="rId13" xr:uid="{00000000-0004-0000-0800-00000C000000}"/>
    <hyperlink ref="B28" r:id="rId14" xr:uid="{00000000-0004-0000-0800-00000D000000}"/>
    <hyperlink ref="B17" r:id="rId15" xr:uid="{00000000-0004-0000-0800-00000E000000}"/>
    <hyperlink ref="B19" r:id="rId16" xr:uid="{00000000-0004-0000-0800-00000F000000}"/>
  </hyperlinks>
  <pageMargins left="0.7" right="0.7" top="0.75" bottom="0.75" header="0.3" footer="0.3"/>
  <pageSetup paperSize="9" orientation="portrait" verticalDpi="0" r:id="rId1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66B08D5591574393234956D8BEBCEB" ma:contentTypeVersion="6" ma:contentTypeDescription="Een nieuw document maken." ma:contentTypeScope="" ma:versionID="ad0422211c0c7e16f46731996d90867f">
  <xsd:schema xmlns:xsd="http://www.w3.org/2001/XMLSchema" xmlns:xs="http://www.w3.org/2001/XMLSchema" xmlns:p="http://schemas.microsoft.com/office/2006/metadata/properties" xmlns:ns2="5465e477-a47d-4552-a449-f7487d44147d" xmlns:ns3="eb85516f-d8d0-4e26-8b03-1416ab86fc0d" targetNamespace="http://schemas.microsoft.com/office/2006/metadata/properties" ma:root="true" ma:fieldsID="4ac8dce8943b9cf6612024b726e8b582" ns2:_="" ns3:_="">
    <xsd:import namespace="5465e477-a47d-4552-a449-f7487d44147d"/>
    <xsd:import namespace="eb85516f-d8d0-4e26-8b03-1416ab86fc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65e477-a47d-4552-a449-f7487d44147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85516f-d8d0-4e26-8b03-1416ab86fc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465e477-a47d-4552-a449-f7487d44147d">
      <UserInfo>
        <DisplayName/>
        <AccountId xsi:nil="true"/>
        <AccountType/>
      </UserInfo>
    </SharedWithUsers>
  </documentManagement>
</p:properties>
</file>

<file path=customXml/itemProps1.xml><?xml version="1.0" encoding="utf-8"?>
<ds:datastoreItem xmlns:ds="http://schemas.openxmlformats.org/officeDocument/2006/customXml" ds:itemID="{06FD731F-F9F5-4BD8-8329-B82D054218CB}"/>
</file>

<file path=customXml/itemProps2.xml><?xml version="1.0" encoding="utf-8"?>
<ds:datastoreItem xmlns:ds="http://schemas.openxmlformats.org/officeDocument/2006/customXml" ds:itemID="{E29C26B5-87D6-47B7-8A33-97681B5F2B82}"/>
</file>

<file path=customXml/itemProps3.xml><?xml version="1.0" encoding="utf-8"?>
<ds:datastoreItem xmlns:ds="http://schemas.openxmlformats.org/officeDocument/2006/customXml" ds:itemID="{9954AED1-34CB-4D83-A76C-25144D80429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1.Intro</vt:lpstr>
      <vt:lpstr>2.Emission reporting overview</vt:lpstr>
      <vt:lpstr>3.Reporting scheme CH4-C6H6</vt:lpstr>
      <vt:lpstr>Sheet4</vt:lpstr>
      <vt:lpstr>4.AP-42 CH4 factor tables</vt:lpstr>
      <vt:lpstr>5. AP-42-benzene EF</vt:lpstr>
      <vt:lpstr>6.Implementation</vt:lpstr>
      <vt:lpstr>Voorbeeld berekeningen</vt:lpstr>
      <vt:lpstr>7.Laws and regulations</vt:lpstr>
      <vt:lpstr>KEUZE</vt:lpstr>
      <vt:lpstr>LIST</vt:lpstr>
      <vt:lpstr>LIST1</vt:lpstr>
      <vt:lpstr>LIST2</vt:lpstr>
      <vt:lpstr>LIST3</vt:lpstr>
      <vt:lpstr>LIST4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Hashim al Jazairy</dc:creator>
  <cp:lastModifiedBy>J0426567</cp:lastModifiedBy>
  <dcterms:created xsi:type="dcterms:W3CDTF">2017-11-17T09:43:39Z</dcterms:created>
  <dcterms:modified xsi:type="dcterms:W3CDTF">2021-04-09T16:16:51Z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_To_AIP">
    <vt:i4>0</vt:i4>
  </property>
  <property fmtid="{D5CDD505-2E9C-101B-9397-08002B2CF9AE}" pid="3" name="MSIP_Label_2b30ed1b-e95f-40b5-af89-828263f287a7_Enabled">
    <vt:lpwstr>True</vt:lpwstr>
  </property>
  <property fmtid="{D5CDD505-2E9C-101B-9397-08002B2CF9AE}" pid="4" name="MSIP_Label_2b30ed1b-e95f-40b5-af89-828263f287a7_SiteId">
    <vt:lpwstr>329e91b0-e21f-48fb-a071-456717ecc28e</vt:lpwstr>
  </property>
  <property fmtid="{D5CDD505-2E9C-101B-9397-08002B2CF9AE}" pid="5" name="MSIP_Label_2b30ed1b-e95f-40b5-af89-828263f287a7_Owner">
    <vt:lpwstr>gerry.van-der-meijden@total.com</vt:lpwstr>
  </property>
  <property fmtid="{D5CDD505-2E9C-101B-9397-08002B2CF9AE}" pid="6" name="MSIP_Label_2b30ed1b-e95f-40b5-af89-828263f287a7_SetDate">
    <vt:lpwstr>2020-06-16T12:53:40.8331582Z</vt:lpwstr>
  </property>
  <property fmtid="{D5CDD505-2E9C-101B-9397-08002B2CF9AE}" pid="7" name="MSIP_Label_2b30ed1b-e95f-40b5-af89-828263f287a7_Name">
    <vt:lpwstr>Restricted</vt:lpwstr>
  </property>
  <property fmtid="{D5CDD505-2E9C-101B-9397-08002B2CF9AE}" pid="8" name="MSIP_Label_2b30ed1b-e95f-40b5-af89-828263f287a7_Application">
    <vt:lpwstr>Microsoft Azure Information Protection</vt:lpwstr>
  </property>
  <property fmtid="{D5CDD505-2E9C-101B-9397-08002B2CF9AE}" pid="9" name="MSIP_Label_2b30ed1b-e95f-40b5-af89-828263f287a7_ActionId">
    <vt:lpwstr>515b85ca-b7ab-4627-9e68-26bfb6a78da2</vt:lpwstr>
  </property>
  <property fmtid="{D5CDD505-2E9C-101B-9397-08002B2CF9AE}" pid="10" name="MSIP_Label_2b30ed1b-e95f-40b5-af89-828263f287a7_Extended_MSFT_Method">
    <vt:lpwstr>Automatic</vt:lpwstr>
  </property>
  <property fmtid="{D5CDD505-2E9C-101B-9397-08002B2CF9AE}" pid="11" name="Sensitivity">
    <vt:lpwstr>Restricted</vt:lpwstr>
  </property>
  <property fmtid="{D5CDD505-2E9C-101B-9397-08002B2CF9AE}" pid="12" name="eDOCS AutoSave">
    <vt:lpwstr/>
  </property>
  <property fmtid="{D5CDD505-2E9C-101B-9397-08002B2CF9AE}" pid="13" name="Order">
    <vt:r8>10659200</vt:r8>
  </property>
  <property fmtid="{D5CDD505-2E9C-101B-9397-08002B2CF9AE}" pid="14" name="ContentTypeId">
    <vt:lpwstr>0x0101008366B08D5591574393234956D8BEBCEB</vt:lpwstr>
  </property>
  <property fmtid="{D5CDD505-2E9C-101B-9397-08002B2CF9AE}" pid="15" name="_SourceUrl">
    <vt:lpwstr/>
  </property>
  <property fmtid="{D5CDD505-2E9C-101B-9397-08002B2CF9AE}" pid="16" name="_SharedFileIndex">
    <vt:lpwstr/>
  </property>
  <property fmtid="{D5CDD505-2E9C-101B-9397-08002B2CF9AE}" pid="17" name="ComplianceAssetId">
    <vt:lpwstr/>
  </property>
  <property fmtid="{D5CDD505-2E9C-101B-9397-08002B2CF9AE}" pid="18" name="_ExtendedDescription">
    <vt:lpwstr/>
  </property>
  <property fmtid="{D5CDD505-2E9C-101B-9397-08002B2CF9AE}" pid="19" name="TriggerFlowInfo">
    <vt:lpwstr/>
  </property>
</Properties>
</file>